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myTab1" Type="http://schemas.microsoft.com/office/2006/relationships/ui/extensibility" Target="OriginalRibbon/OriginalRibbon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edakei/products/om-bldg/om-bldg-client/lib/__test__/test_files/正常フロー/"/>
    </mc:Choice>
  </mc:AlternateContent>
  <xr:revisionPtr revIDLastSave="0" documentId="13_ncr:1_{4626741C-A5B1-854F-9829-EC554F50EC1E}" xr6:coauthVersionLast="47" xr6:coauthVersionMax="47" xr10:uidLastSave="{00000000-0000-0000-0000-000000000000}"/>
  <bookViews>
    <workbookView xWindow="0" yWindow="0" windowWidth="35840" windowHeight="22400" tabRatio="643" firstSheet="3" activeTab="8" xr2:uid="{00000000-000D-0000-FFFF-FFFF00000000}"/>
  </bookViews>
  <sheets>
    <sheet name="変更諸経費表 (東梅田)" sheetId="41" r:id="rId1"/>
    <sheet name="変更諸経費表 (堺筋本町)" sheetId="40" r:id="rId2"/>
    <sheet name="変更諸経費表" sheetId="37" r:id="rId3"/>
    <sheet name="表紙" sheetId="6" r:id="rId4"/>
    <sheet name="資産管理明細書" sheetId="33" r:id="rId5"/>
    <sheet name="資産クラス" sheetId="35" r:id="rId6"/>
    <sheet name="工事1" sheetId="1" r:id="rId7"/>
    <sheet name="資産クラス一覧表" sheetId="36" state="hidden" r:id="rId8"/>
    <sheet name="工事2" sheetId="34" r:id="rId9"/>
    <sheet name="代価" sheetId="31" r:id="rId10"/>
    <sheet name="見積比較" sheetId="3" r:id="rId11"/>
    <sheet name="見積類似" sheetId="32" r:id="rId12"/>
    <sheet name="小運搬" sheetId="30" r:id="rId13"/>
    <sheet name="代価一覧" sheetId="7" r:id="rId14"/>
    <sheet name="変更諸経費表(専業)元" sheetId="38" state="hidden" r:id="rId15"/>
    <sheet name="変更諸経費表(専業)改" sheetId="39" r:id="rId16"/>
    <sheet name="work" sheetId="8" r:id="rId17"/>
    <sheet name="新規シート" sheetId="9" state="hidden" r:id="rId18"/>
  </sheets>
  <externalReferences>
    <externalReference r:id="rId19"/>
  </externalReferences>
  <definedNames>
    <definedName name="_xlnm.Print_Area" localSheetId="10">見積比較!$A:$O</definedName>
    <definedName name="_xlnm.Print_Area" localSheetId="11">見積類似!$A:$T</definedName>
    <definedName name="_xlnm.Print_Area" localSheetId="6">工事1!$A$3:$L$25</definedName>
    <definedName name="_xlnm.Print_Area" localSheetId="8">工事2!$A$3:$L$48</definedName>
    <definedName name="_xlnm.Print_Area" localSheetId="5">資産クラス!$A$1:$I$329</definedName>
    <definedName name="_xlnm.Print_Area" localSheetId="4">資産管理明細書!$A$3:$L$25</definedName>
    <definedName name="_xlnm.Print_Area" localSheetId="9">代価!$A:$L</definedName>
    <definedName name="_xlnm.Print_Area" localSheetId="2">変更諸経費表!$A$1:$Q$471</definedName>
    <definedName name="_xlnm.Print_Area" localSheetId="1">'変更諸経費表 (堺筋本町)'!$A$1:$N$471</definedName>
    <definedName name="_xlnm.Print_Area" localSheetId="0">'変更諸経費表 (東梅田)'!$A$1:$N$471</definedName>
    <definedName name="_xlnm.Print_Area" localSheetId="15">'変更諸経費表(専業)改'!$A$1:$N$469</definedName>
    <definedName name="_xlnm.Print_Area" localSheetId="14">'変更諸経費表(専業)元'!$A$1:$L$330</definedName>
    <definedName name="区分" localSheetId="8">#REF!</definedName>
    <definedName name="区分" localSheetId="5">#REF!</definedName>
    <definedName name="区分" localSheetId="7">#REF!</definedName>
    <definedName name="区分" localSheetId="1">#REF!</definedName>
    <definedName name="区分" localSheetId="0">#REF!</definedName>
    <definedName name="区分">#REF!</definedName>
    <definedName name="区分1">[1]Sheet2!$D$1:$D$19</definedName>
    <definedName name="分類">[1]Sheet2!$A$1:$A$2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4" i="1" l="1"/>
  <c r="L93" i="1"/>
  <c r="K93" i="1"/>
  <c r="J93" i="1"/>
  <c r="I44" i="32"/>
  <c r="R44" i="32" s="1"/>
  <c r="I35" i="32"/>
  <c r="R35" i="32" s="1"/>
  <c r="I7" i="32"/>
  <c r="R7" i="32" s="1"/>
  <c r="Q7" i="32" s="1"/>
  <c r="H83" i="1" s="1"/>
  <c r="I83" i="1" s="1"/>
  <c r="N3" i="37"/>
  <c r="M3" i="37"/>
  <c r="L3" i="37"/>
  <c r="K3" i="37"/>
  <c r="J3" i="37"/>
  <c r="I3" i="37"/>
  <c r="H3" i="37"/>
  <c r="G3" i="37"/>
  <c r="D77" i="1"/>
  <c r="D85" i="34"/>
  <c r="E91" i="34"/>
  <c r="E90" i="34"/>
  <c r="E89" i="34"/>
  <c r="E88" i="34"/>
  <c r="E87" i="34"/>
  <c r="E86" i="34"/>
  <c r="E85" i="34"/>
  <c r="E83" i="34"/>
  <c r="E82" i="34"/>
  <c r="E81" i="34"/>
  <c r="E80" i="34"/>
  <c r="E79" i="34"/>
  <c r="E78" i="34"/>
  <c r="E77" i="34"/>
  <c r="D77" i="34"/>
  <c r="N27" i="32"/>
  <c r="O54" i="32"/>
  <c r="N54" i="32"/>
  <c r="T52" i="32"/>
  <c r="S52" i="32"/>
  <c r="R52" i="32"/>
  <c r="Q52" i="32" s="1"/>
  <c r="T51" i="32"/>
  <c r="S51" i="32"/>
  <c r="R51" i="32"/>
  <c r="Q51" i="32" s="1"/>
  <c r="T50" i="32"/>
  <c r="S50" i="32"/>
  <c r="R50" i="32"/>
  <c r="Q50" i="32" s="1"/>
  <c r="T49" i="32"/>
  <c r="S49" i="32"/>
  <c r="R49" i="32"/>
  <c r="Q49" i="32" s="1"/>
  <c r="T48" i="32"/>
  <c r="S48" i="32"/>
  <c r="R48" i="32"/>
  <c r="Q48" i="32" s="1"/>
  <c r="T47" i="32"/>
  <c r="S47" i="32"/>
  <c r="R47" i="32"/>
  <c r="Q47" i="32" s="1"/>
  <c r="T46" i="32"/>
  <c r="S46" i="32"/>
  <c r="R46" i="32"/>
  <c r="Q46" i="32" s="1"/>
  <c r="T45" i="32"/>
  <c r="S45" i="32"/>
  <c r="R45" i="32"/>
  <c r="Q45" i="32" s="1"/>
  <c r="T43" i="32"/>
  <c r="S43" i="32"/>
  <c r="R43" i="32"/>
  <c r="Q43" i="32" s="1"/>
  <c r="T42" i="32"/>
  <c r="S42" i="32"/>
  <c r="R42" i="32"/>
  <c r="Q42" i="32" s="1"/>
  <c r="T41" i="32"/>
  <c r="S41" i="32"/>
  <c r="R41" i="32"/>
  <c r="Q41" i="32" s="1"/>
  <c r="T40" i="32"/>
  <c r="S40" i="32"/>
  <c r="R40" i="32"/>
  <c r="Q40" i="32" s="1"/>
  <c r="T39" i="32"/>
  <c r="S39" i="32"/>
  <c r="R39" i="32"/>
  <c r="Q39" i="32" s="1"/>
  <c r="T38" i="32"/>
  <c r="S38" i="32"/>
  <c r="R38" i="32"/>
  <c r="Q38" i="32" s="1"/>
  <c r="T37" i="32"/>
  <c r="S37" i="32"/>
  <c r="R37" i="32"/>
  <c r="Q37" i="32" s="1"/>
  <c r="T36" i="32"/>
  <c r="S36" i="32"/>
  <c r="R36" i="32"/>
  <c r="Q36" i="32" s="1"/>
  <c r="T34" i="32"/>
  <c r="S34" i="32"/>
  <c r="R34" i="32"/>
  <c r="Q34" i="32" s="1"/>
  <c r="T33" i="32"/>
  <c r="S33" i="32"/>
  <c r="R33" i="32"/>
  <c r="Q33" i="32" s="1"/>
  <c r="E90" i="1"/>
  <c r="E89" i="1"/>
  <c r="D84" i="1"/>
  <c r="E88" i="1"/>
  <c r="E87" i="1"/>
  <c r="E86" i="1"/>
  <c r="E85" i="1"/>
  <c r="E84" i="1"/>
  <c r="E81" i="1"/>
  <c r="E80" i="1"/>
  <c r="E79" i="1"/>
  <c r="E78" i="1"/>
  <c r="E77" i="1"/>
  <c r="J66" i="6"/>
  <c r="J35" i="6" s="1"/>
  <c r="J36" i="6" s="1"/>
  <c r="J58" i="6"/>
  <c r="J30" i="6" s="1"/>
  <c r="F1" i="37"/>
  <c r="J45" i="6" l="1"/>
  <c r="J31" i="6"/>
  <c r="J32" i="6" s="1"/>
  <c r="J67" i="6"/>
  <c r="J68" i="6" s="1"/>
  <c r="T35" i="32"/>
  <c r="T44" i="32"/>
  <c r="T53" i="32" s="1"/>
  <c r="T54" i="32" s="1"/>
  <c r="S7" i="32"/>
  <c r="S44" i="32"/>
  <c r="S35" i="32"/>
  <c r="J37" i="6"/>
  <c r="J46" i="6"/>
  <c r="N5" i="6"/>
  <c r="N4" i="6"/>
  <c r="K65" i="6"/>
  <c r="K64" i="6"/>
  <c r="J59" i="6"/>
  <c r="J60" i="6" s="1"/>
  <c r="K57" i="6"/>
  <c r="K56" i="6"/>
  <c r="K55" i="6"/>
  <c r="K54" i="6"/>
  <c r="F71" i="6"/>
  <c r="F48" i="6"/>
  <c r="P48" i="6"/>
  <c r="M48" i="6" s="1"/>
  <c r="Q48" i="6"/>
  <c r="N48" i="6" s="1"/>
  <c r="L460" i="37"/>
  <c r="L438" i="37" s="1"/>
  <c r="K460" i="37"/>
  <c r="K438" i="37" s="1"/>
  <c r="J460" i="37"/>
  <c r="K428" i="37"/>
  <c r="K323" i="37" s="1"/>
  <c r="J428" i="37"/>
  <c r="J323" i="37" s="1"/>
  <c r="L352" i="37"/>
  <c r="L447" i="37" s="1"/>
  <c r="L457" i="37" s="1"/>
  <c r="L327" i="37" s="1"/>
  <c r="K352" i="37"/>
  <c r="K447" i="37" s="1"/>
  <c r="K457" i="37" s="1"/>
  <c r="J352" i="37"/>
  <c r="J447" i="37" s="1"/>
  <c r="K351" i="37"/>
  <c r="K317" i="37" s="1"/>
  <c r="J351" i="37"/>
  <c r="J317" i="37" s="1"/>
  <c r="K350" i="37"/>
  <c r="K311" i="37" s="1"/>
  <c r="J350" i="37"/>
  <c r="L349" i="37"/>
  <c r="K349" i="37"/>
  <c r="J349" i="37"/>
  <c r="L346" i="37"/>
  <c r="K346" i="37"/>
  <c r="J346" i="37"/>
  <c r="L345" i="37"/>
  <c r="K345" i="37"/>
  <c r="J345" i="37"/>
  <c r="L344" i="37"/>
  <c r="K344" i="37"/>
  <c r="J344" i="37"/>
  <c r="L343" i="37"/>
  <c r="K343" i="37"/>
  <c r="J343" i="37"/>
  <c r="L342" i="37"/>
  <c r="K342" i="37"/>
  <c r="J342" i="37"/>
  <c r="L341" i="37"/>
  <c r="K341" i="37"/>
  <c r="J341" i="37"/>
  <c r="L340" i="37"/>
  <c r="K340" i="37"/>
  <c r="J340" i="37"/>
  <c r="L339" i="37"/>
  <c r="K339" i="37"/>
  <c r="J339" i="37"/>
  <c r="L338" i="37"/>
  <c r="K338" i="37"/>
  <c r="J338" i="37"/>
  <c r="L337" i="37"/>
  <c r="K337" i="37"/>
  <c r="J337" i="37"/>
  <c r="L336" i="37"/>
  <c r="K336" i="37"/>
  <c r="J336" i="37"/>
  <c r="L335" i="37"/>
  <c r="K335" i="37"/>
  <c r="J335" i="37"/>
  <c r="K327" i="37"/>
  <c r="L316" i="37"/>
  <c r="K316" i="37"/>
  <c r="J316" i="37"/>
  <c r="L315" i="37"/>
  <c r="K315" i="37"/>
  <c r="J315" i="37"/>
  <c r="K314" i="37"/>
  <c r="J314" i="37"/>
  <c r="J311" i="37"/>
  <c r="L310" i="37"/>
  <c r="K310" i="37"/>
  <c r="K308" i="37"/>
  <c r="J308" i="37"/>
  <c r="L301" i="37"/>
  <c r="K301" i="37"/>
  <c r="J301" i="37"/>
  <c r="L284" i="37"/>
  <c r="L276" i="37" s="1"/>
  <c r="K284" i="37"/>
  <c r="K276" i="37" s="1"/>
  <c r="J284" i="37"/>
  <c r="J276" i="37" s="1"/>
  <c r="L267" i="37"/>
  <c r="K267" i="37"/>
  <c r="J267" i="37"/>
  <c r="L258" i="37"/>
  <c r="K258" i="37"/>
  <c r="J258" i="37"/>
  <c r="L232" i="37"/>
  <c r="L242" i="37" s="1"/>
  <c r="L111" i="37" s="1"/>
  <c r="K232" i="37"/>
  <c r="K242" i="37" s="1"/>
  <c r="K111" i="37" s="1"/>
  <c r="J232" i="37"/>
  <c r="J242" i="37" s="1"/>
  <c r="J111" i="37" s="1"/>
  <c r="L223" i="37"/>
  <c r="K223" i="37"/>
  <c r="J223" i="37"/>
  <c r="L220" i="37"/>
  <c r="K220" i="37"/>
  <c r="J220" i="37"/>
  <c r="L178" i="37"/>
  <c r="K178" i="37"/>
  <c r="J178" i="37"/>
  <c r="L155" i="37"/>
  <c r="K155" i="37"/>
  <c r="J155" i="37"/>
  <c r="L154" i="37"/>
  <c r="K154" i="37"/>
  <c r="J154" i="37"/>
  <c r="L153" i="37"/>
  <c r="K153" i="37"/>
  <c r="J153" i="37"/>
  <c r="L152" i="37"/>
  <c r="K152" i="37"/>
  <c r="J152" i="37"/>
  <c r="L151" i="37"/>
  <c r="K151" i="37"/>
  <c r="J151" i="37"/>
  <c r="L148" i="37"/>
  <c r="K148" i="37"/>
  <c r="J148" i="37"/>
  <c r="L147" i="37"/>
  <c r="K147" i="37"/>
  <c r="J147" i="37"/>
  <c r="L146" i="37"/>
  <c r="K146" i="37"/>
  <c r="J146" i="37"/>
  <c r="L145" i="37"/>
  <c r="K145" i="37"/>
  <c r="J145" i="37"/>
  <c r="L144" i="37"/>
  <c r="K144" i="37"/>
  <c r="J144" i="37"/>
  <c r="L139" i="37"/>
  <c r="K139" i="37"/>
  <c r="J139" i="37"/>
  <c r="L132" i="37"/>
  <c r="K132" i="37"/>
  <c r="J132" i="37"/>
  <c r="J348" i="37" s="1"/>
  <c r="L131" i="37"/>
  <c r="L194" i="37" s="1"/>
  <c r="K131" i="37"/>
  <c r="J131" i="37"/>
  <c r="L118" i="37"/>
  <c r="K118" i="37"/>
  <c r="K143" i="37" s="1"/>
  <c r="J118" i="37"/>
  <c r="J143" i="37" s="1"/>
  <c r="L117" i="37"/>
  <c r="K117" i="37"/>
  <c r="J117" i="37"/>
  <c r="L115" i="37"/>
  <c r="K115" i="37"/>
  <c r="J115" i="37"/>
  <c r="L112" i="37"/>
  <c r="K112" i="37"/>
  <c r="J112" i="37"/>
  <c r="L107" i="37"/>
  <c r="K107" i="37"/>
  <c r="J107" i="37"/>
  <c r="L101" i="37"/>
  <c r="K101" i="37"/>
  <c r="J101" i="37"/>
  <c r="L95" i="37"/>
  <c r="K95" i="37"/>
  <c r="J95" i="37"/>
  <c r="J94" i="37"/>
  <c r="L41" i="37"/>
  <c r="K41" i="37"/>
  <c r="J41" i="37"/>
  <c r="L40" i="37"/>
  <c r="K40" i="37"/>
  <c r="J40" i="37"/>
  <c r="K18" i="37"/>
  <c r="J18" i="37"/>
  <c r="L12" i="37"/>
  <c r="L306" i="37" s="1"/>
  <c r="K12" i="37"/>
  <c r="K306" i="37" s="1"/>
  <c r="J12" i="37"/>
  <c r="J306" i="37" s="1"/>
  <c r="L11" i="37"/>
  <c r="L305" i="37" s="1"/>
  <c r="K11" i="37"/>
  <c r="K305" i="37" s="1"/>
  <c r="J11" i="37"/>
  <c r="J305" i="37" s="1"/>
  <c r="L10" i="37"/>
  <c r="L304" i="37" s="1"/>
  <c r="K10" i="37"/>
  <c r="K304" i="37" s="1"/>
  <c r="J10" i="37"/>
  <c r="J304" i="37" s="1"/>
  <c r="L9" i="37"/>
  <c r="L26" i="37" s="1"/>
  <c r="K9" i="37"/>
  <c r="K27" i="37" s="1"/>
  <c r="J9" i="37"/>
  <c r="J26" i="37" s="1"/>
  <c r="L8" i="37"/>
  <c r="L300" i="37" s="1"/>
  <c r="K8" i="37"/>
  <c r="J8" i="37"/>
  <c r="L302" i="37"/>
  <c r="K302" i="37"/>
  <c r="J302" i="37"/>
  <c r="N460" i="41"/>
  <c r="M460" i="41"/>
  <c r="M438" i="41" s="1"/>
  <c r="L460" i="41"/>
  <c r="K460" i="41"/>
  <c r="K328" i="41" s="1"/>
  <c r="J460" i="41"/>
  <c r="J328" i="41" s="1"/>
  <c r="I460" i="41"/>
  <c r="I438" i="41" s="1"/>
  <c r="H460" i="41"/>
  <c r="H328" i="41" s="1"/>
  <c r="G460" i="41"/>
  <c r="G328" i="41" s="1"/>
  <c r="E459" i="41"/>
  <c r="E458" i="41"/>
  <c r="E457" i="41"/>
  <c r="D457" i="41"/>
  <c r="C457" i="41"/>
  <c r="D454" i="41"/>
  <c r="D453" i="41"/>
  <c r="D452" i="41"/>
  <c r="C447" i="41"/>
  <c r="N438" i="41"/>
  <c r="G438" i="41"/>
  <c r="E430" i="41"/>
  <c r="D430" i="41"/>
  <c r="F429" i="41"/>
  <c r="N428" i="41"/>
  <c r="N323" i="41" s="1"/>
  <c r="M428" i="41"/>
  <c r="M323" i="41" s="1"/>
  <c r="L428" i="41"/>
  <c r="L323" i="41" s="1"/>
  <c r="K428" i="41"/>
  <c r="K323" i="41" s="1"/>
  <c r="J428" i="41"/>
  <c r="J323" i="41" s="1"/>
  <c r="I428" i="41"/>
  <c r="I323" i="41" s="1"/>
  <c r="H428" i="41"/>
  <c r="H323" i="41" s="1"/>
  <c r="G428" i="41"/>
  <c r="G323" i="41" s="1"/>
  <c r="E427" i="41"/>
  <c r="D427" i="41"/>
  <c r="E426" i="41"/>
  <c r="D426" i="41"/>
  <c r="E425" i="41"/>
  <c r="D425" i="41"/>
  <c r="E424" i="41"/>
  <c r="D424" i="41"/>
  <c r="E421" i="41"/>
  <c r="D421" i="41"/>
  <c r="E420" i="41"/>
  <c r="D420" i="41"/>
  <c r="E419" i="41"/>
  <c r="D419" i="41"/>
  <c r="D418" i="41"/>
  <c r="D417" i="41"/>
  <c r="D416" i="41"/>
  <c r="D414" i="41"/>
  <c r="E389" i="41"/>
  <c r="D389" i="41"/>
  <c r="E388" i="41"/>
  <c r="D388" i="41"/>
  <c r="E387" i="41"/>
  <c r="D387" i="41"/>
  <c r="E386" i="41"/>
  <c r="D386" i="41"/>
  <c r="E385" i="41"/>
  <c r="D385" i="41"/>
  <c r="E382" i="41"/>
  <c r="D382" i="41"/>
  <c r="E381" i="41"/>
  <c r="D381" i="41"/>
  <c r="E380" i="41"/>
  <c r="D380" i="41"/>
  <c r="D377" i="41"/>
  <c r="D375" i="41"/>
  <c r="N352" i="41"/>
  <c r="N447" i="41" s="1"/>
  <c r="N457" i="41" s="1"/>
  <c r="N327" i="41" s="1"/>
  <c r="M352" i="41"/>
  <c r="M447" i="41" s="1"/>
  <c r="M457" i="41" s="1"/>
  <c r="L352" i="41"/>
  <c r="L447" i="41" s="1"/>
  <c r="K352" i="41"/>
  <c r="K447" i="41" s="1"/>
  <c r="K457" i="41" s="1"/>
  <c r="J352" i="41"/>
  <c r="J447" i="41" s="1"/>
  <c r="J457" i="41" s="1"/>
  <c r="J327" i="41" s="1"/>
  <c r="I352" i="41"/>
  <c r="I447" i="41" s="1"/>
  <c r="I457" i="41" s="1"/>
  <c r="H352" i="41"/>
  <c r="H447" i="41" s="1"/>
  <c r="H457" i="41" s="1"/>
  <c r="H327" i="41" s="1"/>
  <c r="G352" i="41"/>
  <c r="N351" i="41"/>
  <c r="N317" i="41" s="1"/>
  <c r="M351" i="41"/>
  <c r="M317" i="41" s="1"/>
  <c r="L351" i="41"/>
  <c r="L317" i="41" s="1"/>
  <c r="K351" i="41"/>
  <c r="K317" i="41" s="1"/>
  <c r="J351" i="41"/>
  <c r="J317" i="41" s="1"/>
  <c r="I351" i="41"/>
  <c r="H351" i="41"/>
  <c r="G351" i="41"/>
  <c r="N350" i="41"/>
  <c r="N311" i="41" s="1"/>
  <c r="M350" i="41"/>
  <c r="M311" i="41" s="1"/>
  <c r="L350" i="41"/>
  <c r="K350" i="41"/>
  <c r="J350" i="41"/>
  <c r="J311" i="41" s="1"/>
  <c r="I350" i="41"/>
  <c r="I311" i="41" s="1"/>
  <c r="H350" i="41"/>
  <c r="H311" i="41" s="1"/>
  <c r="G350" i="41"/>
  <c r="G311" i="41" s="1"/>
  <c r="N349" i="41"/>
  <c r="M349" i="41"/>
  <c r="L349" i="41"/>
  <c r="K349" i="41"/>
  <c r="J349" i="41"/>
  <c r="I349" i="41"/>
  <c r="H349" i="41"/>
  <c r="G349" i="41"/>
  <c r="N346" i="41"/>
  <c r="M346" i="41"/>
  <c r="L346" i="41"/>
  <c r="K346" i="41"/>
  <c r="J346" i="41"/>
  <c r="I346" i="41"/>
  <c r="H346" i="41"/>
  <c r="G346" i="41"/>
  <c r="N345" i="41"/>
  <c r="M345" i="41"/>
  <c r="L345" i="41"/>
  <c r="K345" i="41"/>
  <c r="J345" i="41"/>
  <c r="I345" i="41"/>
  <c r="H345" i="41"/>
  <c r="G345" i="41"/>
  <c r="N344" i="41"/>
  <c r="M344" i="41"/>
  <c r="L344" i="41"/>
  <c r="K344" i="41"/>
  <c r="J344" i="41"/>
  <c r="I344" i="41"/>
  <c r="H344" i="41"/>
  <c r="G344" i="41"/>
  <c r="N343" i="41"/>
  <c r="M343" i="41"/>
  <c r="L343" i="41"/>
  <c r="K343" i="41"/>
  <c r="J343" i="41"/>
  <c r="I343" i="41"/>
  <c r="H343" i="41"/>
  <c r="G343" i="41"/>
  <c r="N342" i="41"/>
  <c r="M342" i="41"/>
  <c r="L342" i="41"/>
  <c r="K342" i="41"/>
  <c r="J342" i="41"/>
  <c r="I342" i="41"/>
  <c r="H342" i="41"/>
  <c r="G342" i="41"/>
  <c r="N341" i="41"/>
  <c r="M341" i="41"/>
  <c r="L341" i="41"/>
  <c r="K341" i="41"/>
  <c r="J341" i="41"/>
  <c r="I341" i="41"/>
  <c r="H341" i="41"/>
  <c r="G341" i="41"/>
  <c r="N340" i="41"/>
  <c r="M340" i="41"/>
  <c r="L340" i="41"/>
  <c r="K340" i="41"/>
  <c r="J340" i="41"/>
  <c r="I340" i="41"/>
  <c r="H340" i="41"/>
  <c r="G340" i="41"/>
  <c r="N339" i="41"/>
  <c r="M339" i="41"/>
  <c r="L339" i="41"/>
  <c r="K339" i="41"/>
  <c r="J339" i="41"/>
  <c r="I339" i="41"/>
  <c r="H339" i="41"/>
  <c r="G339" i="41"/>
  <c r="N338" i="41"/>
  <c r="M338" i="41"/>
  <c r="L338" i="41"/>
  <c r="K338" i="41"/>
  <c r="J338" i="41"/>
  <c r="I338" i="41"/>
  <c r="H338" i="41"/>
  <c r="G338" i="41"/>
  <c r="N337" i="41"/>
  <c r="M337" i="41"/>
  <c r="L337" i="41"/>
  <c r="K337" i="41"/>
  <c r="J337" i="41"/>
  <c r="I337" i="41"/>
  <c r="H337" i="41"/>
  <c r="G337" i="41"/>
  <c r="N336" i="41"/>
  <c r="M336" i="41"/>
  <c r="L336" i="41"/>
  <c r="K336" i="41"/>
  <c r="J336" i="41"/>
  <c r="I336" i="41"/>
  <c r="H336" i="41"/>
  <c r="G336" i="41"/>
  <c r="N335" i="41"/>
  <c r="M335" i="41"/>
  <c r="L335" i="41"/>
  <c r="K335" i="41"/>
  <c r="J335" i="41"/>
  <c r="I335" i="41"/>
  <c r="H335" i="41"/>
  <c r="G335" i="41"/>
  <c r="N328" i="41"/>
  <c r="M328" i="41"/>
  <c r="L328" i="41"/>
  <c r="I328" i="41"/>
  <c r="M327" i="41"/>
  <c r="K327" i="41"/>
  <c r="I327" i="41"/>
  <c r="I317" i="41"/>
  <c r="G317" i="41"/>
  <c r="N316" i="41"/>
  <c r="M316" i="41"/>
  <c r="L316" i="41"/>
  <c r="K316" i="41"/>
  <c r="J316" i="41"/>
  <c r="I316" i="41"/>
  <c r="F316" i="41" s="1"/>
  <c r="H316" i="41"/>
  <c r="G316" i="41"/>
  <c r="N315" i="41"/>
  <c r="M315" i="41"/>
  <c r="L315" i="41"/>
  <c r="K315" i="41"/>
  <c r="J315" i="41"/>
  <c r="I315" i="41"/>
  <c r="H315" i="41"/>
  <c r="G315" i="41"/>
  <c r="N314" i="41"/>
  <c r="M314" i="41"/>
  <c r="L314" i="41"/>
  <c r="K314" i="41"/>
  <c r="J314" i="41"/>
  <c r="I314" i="41"/>
  <c r="H314" i="41"/>
  <c r="L311" i="41"/>
  <c r="K311" i="41"/>
  <c r="M310" i="41"/>
  <c r="I310" i="41"/>
  <c r="N308" i="41"/>
  <c r="M308" i="41"/>
  <c r="L308" i="41"/>
  <c r="K308" i="41"/>
  <c r="J308" i="41"/>
  <c r="I308" i="41"/>
  <c r="H308" i="41"/>
  <c r="E303" i="41"/>
  <c r="E441" i="41" s="1"/>
  <c r="E444" i="41" s="1"/>
  <c r="E454" i="41" s="1"/>
  <c r="E302" i="41"/>
  <c r="E440" i="41" s="1"/>
  <c r="N301" i="41"/>
  <c r="M301" i="41"/>
  <c r="L301" i="41"/>
  <c r="K301" i="41"/>
  <c r="J301" i="41"/>
  <c r="I301" i="41"/>
  <c r="H301" i="41"/>
  <c r="G301" i="41"/>
  <c r="N284" i="41"/>
  <c r="N276" i="41" s="1"/>
  <c r="M284" i="41"/>
  <c r="M276" i="41" s="1"/>
  <c r="L284" i="41"/>
  <c r="K284" i="41"/>
  <c r="K276" i="41" s="1"/>
  <c r="J284" i="41"/>
  <c r="J276" i="41" s="1"/>
  <c r="I284" i="41"/>
  <c r="I276" i="41" s="1"/>
  <c r="H284" i="41"/>
  <c r="H276" i="41" s="1"/>
  <c r="G284" i="41"/>
  <c r="G276" i="41" s="1"/>
  <c r="L276" i="41"/>
  <c r="N267" i="41"/>
  <c r="M267" i="41"/>
  <c r="L267" i="41"/>
  <c r="K267" i="41"/>
  <c r="J267" i="41"/>
  <c r="I267" i="41"/>
  <c r="H267" i="41"/>
  <c r="G267" i="41"/>
  <c r="N258" i="41"/>
  <c r="M258" i="41"/>
  <c r="L258" i="41"/>
  <c r="K258" i="41"/>
  <c r="J258" i="41"/>
  <c r="I258" i="41"/>
  <c r="H258" i="41"/>
  <c r="G258" i="41"/>
  <c r="F245" i="41"/>
  <c r="E244" i="41"/>
  <c r="E243" i="41"/>
  <c r="E242" i="41"/>
  <c r="D242" i="41"/>
  <c r="C242" i="41"/>
  <c r="D239" i="41"/>
  <c r="D238" i="41"/>
  <c r="D237" i="41"/>
  <c r="N232" i="41"/>
  <c r="N242" i="41" s="1"/>
  <c r="N111" i="41" s="1"/>
  <c r="M232" i="41"/>
  <c r="M242" i="41" s="1"/>
  <c r="M111" i="41" s="1"/>
  <c r="L232" i="41"/>
  <c r="L242" i="41" s="1"/>
  <c r="L111" i="41" s="1"/>
  <c r="K232" i="41"/>
  <c r="K242" i="41" s="1"/>
  <c r="K111" i="41" s="1"/>
  <c r="J232" i="41"/>
  <c r="J242" i="41" s="1"/>
  <c r="I232" i="41"/>
  <c r="I242" i="41" s="1"/>
  <c r="H232" i="41"/>
  <c r="G232" i="41"/>
  <c r="C232" i="41"/>
  <c r="E226" i="41"/>
  <c r="E229" i="41" s="1"/>
  <c r="E239" i="41" s="1"/>
  <c r="E225" i="41"/>
  <c r="N223" i="41"/>
  <c r="M223" i="41"/>
  <c r="L223" i="41"/>
  <c r="K223" i="41"/>
  <c r="J223" i="41"/>
  <c r="I223" i="41"/>
  <c r="H223" i="41"/>
  <c r="G223" i="41"/>
  <c r="N220" i="41"/>
  <c r="M220" i="41"/>
  <c r="L220" i="41"/>
  <c r="K220" i="41"/>
  <c r="J220" i="41"/>
  <c r="I220" i="41"/>
  <c r="H220" i="41"/>
  <c r="G220" i="41"/>
  <c r="E214" i="41"/>
  <c r="D214" i="41"/>
  <c r="F213" i="41"/>
  <c r="F212" i="41"/>
  <c r="E211" i="41"/>
  <c r="D211" i="41"/>
  <c r="E210" i="41"/>
  <c r="D210" i="41"/>
  <c r="E209" i="41"/>
  <c r="D209" i="41"/>
  <c r="E208" i="41"/>
  <c r="D208" i="41"/>
  <c r="E205" i="41"/>
  <c r="D205" i="41"/>
  <c r="E204" i="41"/>
  <c r="D204" i="41"/>
  <c r="E203" i="41"/>
  <c r="D203" i="41"/>
  <c r="D202" i="41"/>
  <c r="D201" i="41"/>
  <c r="D200" i="41"/>
  <c r="D198" i="41"/>
  <c r="N178" i="41"/>
  <c r="M178" i="41"/>
  <c r="L178" i="41"/>
  <c r="K178" i="41"/>
  <c r="J178" i="41"/>
  <c r="I178" i="41"/>
  <c r="H178" i="41"/>
  <c r="G178" i="41"/>
  <c r="E173" i="41"/>
  <c r="D173" i="41"/>
  <c r="E172" i="41"/>
  <c r="D172" i="41"/>
  <c r="E171" i="41"/>
  <c r="D171" i="41"/>
  <c r="E170" i="41"/>
  <c r="D170" i="41"/>
  <c r="E169" i="41"/>
  <c r="D169" i="41"/>
  <c r="E166" i="41"/>
  <c r="D166" i="41"/>
  <c r="E165" i="41"/>
  <c r="D165" i="41"/>
  <c r="H164" i="41"/>
  <c r="H185" i="41" s="1"/>
  <c r="E164" i="41"/>
  <c r="D164" i="41"/>
  <c r="D161" i="41"/>
  <c r="D159" i="41"/>
  <c r="N155" i="41"/>
  <c r="M155" i="41"/>
  <c r="L155" i="41"/>
  <c r="K155" i="41"/>
  <c r="J155" i="41"/>
  <c r="I155" i="41"/>
  <c r="H155" i="41"/>
  <c r="G155" i="41"/>
  <c r="N154" i="41"/>
  <c r="M154" i="41"/>
  <c r="L154" i="41"/>
  <c r="K154" i="41"/>
  <c r="J154" i="41"/>
  <c r="J172" i="41" s="1"/>
  <c r="J193" i="41" s="1"/>
  <c r="J211" i="41" s="1"/>
  <c r="I154" i="41"/>
  <c r="I172" i="41" s="1"/>
  <c r="I193" i="41" s="1"/>
  <c r="H154" i="41"/>
  <c r="G154" i="41"/>
  <c r="N153" i="41"/>
  <c r="M153" i="41"/>
  <c r="L153" i="41"/>
  <c r="K153" i="41"/>
  <c r="K171" i="41" s="1"/>
  <c r="K192" i="41" s="1"/>
  <c r="J153" i="41"/>
  <c r="J171" i="41" s="1"/>
  <c r="J192" i="41" s="1"/>
  <c r="I153" i="41"/>
  <c r="H153" i="41"/>
  <c r="G153" i="41"/>
  <c r="G171" i="41" s="1"/>
  <c r="G192" i="41" s="1"/>
  <c r="N152" i="41"/>
  <c r="M152" i="41"/>
  <c r="L152" i="41"/>
  <c r="K152" i="41"/>
  <c r="J152" i="41"/>
  <c r="J170" i="41" s="1"/>
  <c r="J191" i="41" s="1"/>
  <c r="J209" i="41" s="1"/>
  <c r="I152" i="41"/>
  <c r="H152" i="41"/>
  <c r="G152" i="41"/>
  <c r="N151" i="41"/>
  <c r="M151" i="41"/>
  <c r="L151" i="41"/>
  <c r="K151" i="41"/>
  <c r="J151" i="41"/>
  <c r="I151" i="41"/>
  <c r="H151" i="41"/>
  <c r="G151" i="41"/>
  <c r="N148" i="41"/>
  <c r="M148" i="41"/>
  <c r="L148" i="41"/>
  <c r="K148" i="41"/>
  <c r="K166" i="41" s="1"/>
  <c r="K187" i="41" s="1"/>
  <c r="J148" i="41"/>
  <c r="I148" i="41"/>
  <c r="H148" i="41"/>
  <c r="G148" i="41"/>
  <c r="N147" i="41"/>
  <c r="N165" i="41" s="1"/>
  <c r="N186" i="41" s="1"/>
  <c r="M147" i="41"/>
  <c r="M165" i="41" s="1"/>
  <c r="M186" i="41" s="1"/>
  <c r="L147" i="41"/>
  <c r="L165" i="41" s="1"/>
  <c r="L186" i="41" s="1"/>
  <c r="L204" i="41" s="1"/>
  <c r="K147" i="41"/>
  <c r="J147" i="41"/>
  <c r="J165" i="41" s="1"/>
  <c r="J186" i="41" s="1"/>
  <c r="J204" i="41" s="1"/>
  <c r="I147" i="41"/>
  <c r="I165" i="41" s="1"/>
  <c r="I186" i="41" s="1"/>
  <c r="H147" i="41"/>
  <c r="H165" i="41" s="1"/>
  <c r="H186" i="41" s="1"/>
  <c r="G147" i="41"/>
  <c r="N146" i="41"/>
  <c r="M146" i="41"/>
  <c r="L146" i="41"/>
  <c r="K146" i="41"/>
  <c r="K164" i="41" s="1"/>
  <c r="K185" i="41" s="1"/>
  <c r="J146" i="41"/>
  <c r="J164" i="41" s="1"/>
  <c r="J185" i="41" s="1"/>
  <c r="J203" i="41" s="1"/>
  <c r="I146" i="41"/>
  <c r="H146" i="41"/>
  <c r="G146" i="41"/>
  <c r="N145" i="41"/>
  <c r="M145" i="41"/>
  <c r="L145" i="41"/>
  <c r="K145" i="41"/>
  <c r="J145" i="41"/>
  <c r="I145" i="41"/>
  <c r="H145" i="41"/>
  <c r="G145" i="41"/>
  <c r="N144" i="41"/>
  <c r="M144" i="41"/>
  <c r="L144" i="41"/>
  <c r="K144" i="41"/>
  <c r="J144" i="41"/>
  <c r="I144" i="41"/>
  <c r="H144" i="41"/>
  <c r="G144" i="41"/>
  <c r="N143" i="41"/>
  <c r="N160" i="41" s="1"/>
  <c r="N161" i="41" s="1"/>
  <c r="N139" i="41"/>
  <c r="M139" i="41"/>
  <c r="L139" i="41"/>
  <c r="K139" i="41"/>
  <c r="J139" i="41"/>
  <c r="I139" i="41"/>
  <c r="H139" i="41"/>
  <c r="G139" i="41"/>
  <c r="F136" i="41"/>
  <c r="F135" i="41"/>
  <c r="F134" i="41"/>
  <c r="F133" i="41"/>
  <c r="N132" i="41"/>
  <c r="M132" i="41"/>
  <c r="L132" i="41"/>
  <c r="K132" i="41"/>
  <c r="J132" i="41"/>
  <c r="I132" i="41"/>
  <c r="H132" i="41"/>
  <c r="G132" i="41"/>
  <c r="N131" i="41"/>
  <c r="M131" i="41"/>
  <c r="L131" i="41"/>
  <c r="K131" i="41"/>
  <c r="J131" i="41"/>
  <c r="I131" i="41"/>
  <c r="H131" i="41"/>
  <c r="G131" i="41"/>
  <c r="F131" i="41" s="1"/>
  <c r="F130" i="41"/>
  <c r="F129" i="41"/>
  <c r="F128" i="41"/>
  <c r="F127" i="41"/>
  <c r="F126" i="41"/>
  <c r="F123" i="41"/>
  <c r="F122" i="41"/>
  <c r="F121" i="41"/>
  <c r="F120" i="41"/>
  <c r="F119" i="41"/>
  <c r="N118" i="41"/>
  <c r="M118" i="41"/>
  <c r="L118" i="41"/>
  <c r="L143" i="41" s="1"/>
  <c r="L160" i="41" s="1"/>
  <c r="L163" i="41" s="1"/>
  <c r="L184" i="41" s="1"/>
  <c r="K118" i="41"/>
  <c r="J118" i="41"/>
  <c r="J143" i="41" s="1"/>
  <c r="I118" i="41"/>
  <c r="H118" i="41"/>
  <c r="H143" i="41" s="1"/>
  <c r="G118" i="41"/>
  <c r="N117" i="41"/>
  <c r="M117" i="41"/>
  <c r="L117" i="41"/>
  <c r="K117" i="41"/>
  <c r="K142" i="41" s="1"/>
  <c r="J117" i="41"/>
  <c r="J141" i="41" s="1"/>
  <c r="I117" i="41"/>
  <c r="I142" i="41" s="1"/>
  <c r="H117" i="41"/>
  <c r="G117" i="41"/>
  <c r="G333" i="41" s="1"/>
  <c r="N115" i="41"/>
  <c r="M115" i="41"/>
  <c r="L115" i="41"/>
  <c r="K115" i="41"/>
  <c r="J115" i="41"/>
  <c r="I115" i="41"/>
  <c r="H115" i="41"/>
  <c r="G115" i="41"/>
  <c r="N112" i="41"/>
  <c r="M112" i="41"/>
  <c r="L112" i="41"/>
  <c r="K112" i="41"/>
  <c r="J112" i="41"/>
  <c r="I112" i="41"/>
  <c r="H112" i="41"/>
  <c r="G112" i="41"/>
  <c r="J111" i="41"/>
  <c r="I111" i="41"/>
  <c r="N107" i="41"/>
  <c r="M107" i="41"/>
  <c r="L107" i="41"/>
  <c r="K107" i="41"/>
  <c r="J107" i="41"/>
  <c r="I107" i="41"/>
  <c r="H107" i="41"/>
  <c r="G107" i="41"/>
  <c r="N101" i="41"/>
  <c r="M101" i="41"/>
  <c r="L101" i="41"/>
  <c r="K101" i="41"/>
  <c r="J101" i="41"/>
  <c r="I101" i="41"/>
  <c r="H101" i="41"/>
  <c r="G101" i="41"/>
  <c r="F100" i="41"/>
  <c r="F99" i="41"/>
  <c r="F98" i="41"/>
  <c r="N95" i="41"/>
  <c r="M95" i="41"/>
  <c r="L95" i="41"/>
  <c r="K95" i="41"/>
  <c r="J95" i="41"/>
  <c r="I95" i="41"/>
  <c r="H95" i="41"/>
  <c r="G95" i="41"/>
  <c r="N94" i="41"/>
  <c r="J94" i="41"/>
  <c r="I94" i="41"/>
  <c r="H94" i="41"/>
  <c r="G94" i="41"/>
  <c r="F92" i="41"/>
  <c r="C83" i="41"/>
  <c r="F82" i="41"/>
  <c r="F298" i="41" s="1"/>
  <c r="F59" i="41"/>
  <c r="F45" i="41"/>
  <c r="F44" i="41"/>
  <c r="F43" i="41"/>
  <c r="F42" i="41"/>
  <c r="N41" i="41"/>
  <c r="M41" i="41"/>
  <c r="L41" i="41"/>
  <c r="K41" i="41"/>
  <c r="J41" i="41"/>
  <c r="I41" i="41"/>
  <c r="H41" i="41"/>
  <c r="G41" i="41"/>
  <c r="N40" i="41"/>
  <c r="M40" i="41"/>
  <c r="L40" i="41"/>
  <c r="K40" i="41"/>
  <c r="J40" i="41"/>
  <c r="I40" i="41"/>
  <c r="H40" i="41"/>
  <c r="G40" i="41"/>
  <c r="F40" i="41" s="1"/>
  <c r="F39" i="41"/>
  <c r="F38" i="41"/>
  <c r="F37" i="41"/>
  <c r="F36" i="41"/>
  <c r="F35" i="41"/>
  <c r="F32" i="41"/>
  <c r="F31" i="41"/>
  <c r="F30" i="41"/>
  <c r="F29" i="41"/>
  <c r="F28" i="41"/>
  <c r="F24" i="41"/>
  <c r="F23" i="41"/>
  <c r="N18" i="41"/>
  <c r="M18" i="41"/>
  <c r="L18" i="41"/>
  <c r="K18" i="41"/>
  <c r="J18" i="41"/>
  <c r="I18" i="41"/>
  <c r="H18" i="41"/>
  <c r="N12" i="41"/>
  <c r="N306" i="41" s="1"/>
  <c r="M12" i="41"/>
  <c r="M306" i="41" s="1"/>
  <c r="L12" i="41"/>
  <c r="L306" i="41" s="1"/>
  <c r="K12" i="41"/>
  <c r="K306" i="41" s="1"/>
  <c r="J12" i="41"/>
  <c r="J306" i="41" s="1"/>
  <c r="I12" i="41"/>
  <c r="I306" i="41" s="1"/>
  <c r="H12" i="41"/>
  <c r="H306" i="41" s="1"/>
  <c r="G12" i="41"/>
  <c r="G306" i="41" s="1"/>
  <c r="N11" i="41"/>
  <c r="N305" i="41" s="1"/>
  <c r="M11" i="41"/>
  <c r="M305" i="41" s="1"/>
  <c r="L11" i="41"/>
  <c r="L305" i="41" s="1"/>
  <c r="K11" i="41"/>
  <c r="K305" i="41" s="1"/>
  <c r="J11" i="41"/>
  <c r="J305" i="41" s="1"/>
  <c r="I11" i="41"/>
  <c r="I305" i="41" s="1"/>
  <c r="H11" i="41"/>
  <c r="H305" i="41" s="1"/>
  <c r="G11" i="41"/>
  <c r="G305" i="41" s="1"/>
  <c r="N10" i="41"/>
  <c r="N304" i="41" s="1"/>
  <c r="M10" i="41"/>
  <c r="M304" i="41" s="1"/>
  <c r="L10" i="41"/>
  <c r="L304" i="41" s="1"/>
  <c r="K10" i="41"/>
  <c r="K304" i="41" s="1"/>
  <c r="J10" i="41"/>
  <c r="J304" i="41" s="1"/>
  <c r="I10" i="41"/>
  <c r="I304" i="41" s="1"/>
  <c r="I368" i="41" s="1"/>
  <c r="I386" i="41" s="1"/>
  <c r="H10" i="41"/>
  <c r="H304" i="41" s="1"/>
  <c r="G10" i="41"/>
  <c r="G304" i="41" s="1"/>
  <c r="N9" i="41"/>
  <c r="N26" i="41" s="1"/>
  <c r="M9" i="41"/>
  <c r="M27" i="41" s="1"/>
  <c r="L9" i="41"/>
  <c r="L26" i="41" s="1"/>
  <c r="K9" i="41"/>
  <c r="K27" i="41" s="1"/>
  <c r="J9" i="41"/>
  <c r="J26" i="41" s="1"/>
  <c r="I9" i="41"/>
  <c r="I27" i="41" s="1"/>
  <c r="H9" i="41"/>
  <c r="H27" i="41" s="1"/>
  <c r="G9" i="41"/>
  <c r="N8" i="41"/>
  <c r="M8" i="41"/>
  <c r="M300" i="41" s="1"/>
  <c r="L8" i="41"/>
  <c r="K8" i="41"/>
  <c r="K300" i="41" s="1"/>
  <c r="J8" i="41"/>
  <c r="I8" i="41"/>
  <c r="I300" i="41" s="1"/>
  <c r="H8" i="41"/>
  <c r="G8" i="41"/>
  <c r="G300" i="41" s="1"/>
  <c r="N3" i="41"/>
  <c r="N302" i="41" s="1"/>
  <c r="M3" i="41"/>
  <c r="M302" i="41" s="1"/>
  <c r="L3" i="41"/>
  <c r="L302" i="41" s="1"/>
  <c r="K3" i="41"/>
  <c r="K302" i="41" s="1"/>
  <c r="J3" i="41"/>
  <c r="J302" i="41" s="1"/>
  <c r="I3" i="41"/>
  <c r="I302" i="41" s="1"/>
  <c r="H3" i="41"/>
  <c r="H302" i="41" s="1"/>
  <c r="G3" i="41"/>
  <c r="G302" i="41" s="1"/>
  <c r="N460" i="40"/>
  <c r="M460" i="40"/>
  <c r="L460" i="40"/>
  <c r="L328" i="40" s="1"/>
  <c r="K460" i="40"/>
  <c r="J460" i="40"/>
  <c r="J328" i="40" s="1"/>
  <c r="I460" i="40"/>
  <c r="H460" i="40"/>
  <c r="H438" i="40" s="1"/>
  <c r="G460" i="40"/>
  <c r="G438" i="40" s="1"/>
  <c r="E459" i="40"/>
  <c r="E458" i="40"/>
  <c r="E457" i="40"/>
  <c r="D457" i="40"/>
  <c r="C457" i="40"/>
  <c r="D454" i="40"/>
  <c r="D453" i="40"/>
  <c r="D452" i="40"/>
  <c r="C447" i="40"/>
  <c r="N438" i="40"/>
  <c r="M438" i="40"/>
  <c r="K438" i="40"/>
  <c r="I438" i="40"/>
  <c r="E430" i="40"/>
  <c r="D430" i="40"/>
  <c r="F429" i="40"/>
  <c r="N428" i="40"/>
  <c r="M428" i="40"/>
  <c r="L428" i="40"/>
  <c r="L323" i="40" s="1"/>
  <c r="K428" i="40"/>
  <c r="K323" i="40" s="1"/>
  <c r="J428" i="40"/>
  <c r="J323" i="40" s="1"/>
  <c r="I428" i="40"/>
  <c r="I323" i="40" s="1"/>
  <c r="H428" i="40"/>
  <c r="H323" i="40" s="1"/>
  <c r="G428" i="40"/>
  <c r="E427" i="40"/>
  <c r="D427" i="40"/>
  <c r="E426" i="40"/>
  <c r="D426" i="40"/>
  <c r="E425" i="40"/>
  <c r="D425" i="40"/>
  <c r="E424" i="40"/>
  <c r="D424" i="40"/>
  <c r="E421" i="40"/>
  <c r="D421" i="40"/>
  <c r="E420" i="40"/>
  <c r="D420" i="40"/>
  <c r="E419" i="40"/>
  <c r="D419" i="40"/>
  <c r="D418" i="40"/>
  <c r="D417" i="40"/>
  <c r="D416" i="40"/>
  <c r="D414" i="40"/>
  <c r="E389" i="40"/>
  <c r="D389" i="40"/>
  <c r="E388" i="40"/>
  <c r="D388" i="40"/>
  <c r="E387" i="40"/>
  <c r="D387" i="40"/>
  <c r="E386" i="40"/>
  <c r="D386" i="40"/>
  <c r="E385" i="40"/>
  <c r="D385" i="40"/>
  <c r="E382" i="40"/>
  <c r="D382" i="40"/>
  <c r="E381" i="40"/>
  <c r="D381" i="40"/>
  <c r="E380" i="40"/>
  <c r="D380" i="40"/>
  <c r="D377" i="40"/>
  <c r="D375" i="40"/>
  <c r="N352" i="40"/>
  <c r="N447" i="40" s="1"/>
  <c r="N457" i="40" s="1"/>
  <c r="M352" i="40"/>
  <c r="M447" i="40" s="1"/>
  <c r="M457" i="40" s="1"/>
  <c r="L352" i="40"/>
  <c r="L447" i="40" s="1"/>
  <c r="L457" i="40" s="1"/>
  <c r="L327" i="40" s="1"/>
  <c r="K352" i="40"/>
  <c r="K447" i="40" s="1"/>
  <c r="K457" i="40" s="1"/>
  <c r="J352" i="40"/>
  <c r="J447" i="40" s="1"/>
  <c r="J457" i="40" s="1"/>
  <c r="J327" i="40" s="1"/>
  <c r="I352" i="40"/>
  <c r="I447" i="40" s="1"/>
  <c r="I457" i="40" s="1"/>
  <c r="H352" i="40"/>
  <c r="H447" i="40" s="1"/>
  <c r="H457" i="40" s="1"/>
  <c r="H327" i="40" s="1"/>
  <c r="G352" i="40"/>
  <c r="G447" i="40" s="1"/>
  <c r="G310" i="40" s="1"/>
  <c r="N351" i="40"/>
  <c r="N317" i="40" s="1"/>
  <c r="M351" i="40"/>
  <c r="L351" i="40"/>
  <c r="L317" i="40" s="1"/>
  <c r="K351" i="40"/>
  <c r="J351" i="40"/>
  <c r="J317" i="40" s="1"/>
  <c r="I351" i="40"/>
  <c r="H351" i="40"/>
  <c r="H317" i="40" s="1"/>
  <c r="G351" i="40"/>
  <c r="N350" i="40"/>
  <c r="N311" i="40" s="1"/>
  <c r="M350" i="40"/>
  <c r="M311" i="40" s="1"/>
  <c r="L350" i="40"/>
  <c r="L311" i="40" s="1"/>
  <c r="K350" i="40"/>
  <c r="K311" i="40" s="1"/>
  <c r="J350" i="40"/>
  <c r="J311" i="40" s="1"/>
  <c r="I350" i="40"/>
  <c r="H350" i="40"/>
  <c r="H311" i="40" s="1"/>
  <c r="G350" i="40"/>
  <c r="N349" i="40"/>
  <c r="M349" i="40"/>
  <c r="L349" i="40"/>
  <c r="K349" i="40"/>
  <c r="J349" i="40"/>
  <c r="I349" i="40"/>
  <c r="H349" i="40"/>
  <c r="G349" i="40"/>
  <c r="N346" i="40"/>
  <c r="M346" i="40"/>
  <c r="L346" i="40"/>
  <c r="K346" i="40"/>
  <c r="J346" i="40"/>
  <c r="I346" i="40"/>
  <c r="H346" i="40"/>
  <c r="G346" i="40"/>
  <c r="N345" i="40"/>
  <c r="M345" i="40"/>
  <c r="L345" i="40"/>
  <c r="K345" i="40"/>
  <c r="J345" i="40"/>
  <c r="I345" i="40"/>
  <c r="H345" i="40"/>
  <c r="G345" i="40"/>
  <c r="N344" i="40"/>
  <c r="M344" i="40"/>
  <c r="L344" i="40"/>
  <c r="K344" i="40"/>
  <c r="J344" i="40"/>
  <c r="I344" i="40"/>
  <c r="H344" i="40"/>
  <c r="G344" i="40"/>
  <c r="N343" i="40"/>
  <c r="M343" i="40"/>
  <c r="L343" i="40"/>
  <c r="K343" i="40"/>
  <c r="J343" i="40"/>
  <c r="I343" i="40"/>
  <c r="H343" i="40"/>
  <c r="G343" i="40"/>
  <c r="N342" i="40"/>
  <c r="M342" i="40"/>
  <c r="L342" i="40"/>
  <c r="K342" i="40"/>
  <c r="J342" i="40"/>
  <c r="I342" i="40"/>
  <c r="H342" i="40"/>
  <c r="G342" i="40"/>
  <c r="N341" i="40"/>
  <c r="M341" i="40"/>
  <c r="L341" i="40"/>
  <c r="K341" i="40"/>
  <c r="J341" i="40"/>
  <c r="I341" i="40"/>
  <c r="H341" i="40"/>
  <c r="G341" i="40"/>
  <c r="N340" i="40"/>
  <c r="M340" i="40"/>
  <c r="L340" i="40"/>
  <c r="K340" i="40"/>
  <c r="J340" i="40"/>
  <c r="I340" i="40"/>
  <c r="H340" i="40"/>
  <c r="G340" i="40"/>
  <c r="N339" i="40"/>
  <c r="M339" i="40"/>
  <c r="L339" i="40"/>
  <c r="K339" i="40"/>
  <c r="J339" i="40"/>
  <c r="I339" i="40"/>
  <c r="H339" i="40"/>
  <c r="G339" i="40"/>
  <c r="N338" i="40"/>
  <c r="M338" i="40"/>
  <c r="L338" i="40"/>
  <c r="K338" i="40"/>
  <c r="J338" i="40"/>
  <c r="I338" i="40"/>
  <c r="H338" i="40"/>
  <c r="G338" i="40"/>
  <c r="N337" i="40"/>
  <c r="M337" i="40"/>
  <c r="L337" i="40"/>
  <c r="K337" i="40"/>
  <c r="J337" i="40"/>
  <c r="I337" i="40"/>
  <c r="H337" i="40"/>
  <c r="G337" i="40"/>
  <c r="N336" i="40"/>
  <c r="M336" i="40"/>
  <c r="L336" i="40"/>
  <c r="K336" i="40"/>
  <c r="J336" i="40"/>
  <c r="I336" i="40"/>
  <c r="H336" i="40"/>
  <c r="G336" i="40"/>
  <c r="N335" i="40"/>
  <c r="M335" i="40"/>
  <c r="L335" i="40"/>
  <c r="K335" i="40"/>
  <c r="J335" i="40"/>
  <c r="I335" i="40"/>
  <c r="H335" i="40"/>
  <c r="G335" i="40"/>
  <c r="N328" i="40"/>
  <c r="M328" i="40"/>
  <c r="K328" i="40"/>
  <c r="I328" i="40"/>
  <c r="N327" i="40"/>
  <c r="M327" i="40"/>
  <c r="K327" i="40"/>
  <c r="I327" i="40"/>
  <c r="N323" i="40"/>
  <c r="M323" i="40"/>
  <c r="G323" i="40"/>
  <c r="M317" i="40"/>
  <c r="K317" i="40"/>
  <c r="I317" i="40"/>
  <c r="G317" i="40"/>
  <c r="N316" i="40"/>
  <c r="M316" i="40"/>
  <c r="L316" i="40"/>
  <c r="K316" i="40"/>
  <c r="J316" i="40"/>
  <c r="I316" i="40"/>
  <c r="H316" i="40"/>
  <c r="G316" i="40"/>
  <c r="N315" i="40"/>
  <c r="M315" i="40"/>
  <c r="L315" i="40"/>
  <c r="K315" i="40"/>
  <c r="J315" i="40"/>
  <c r="I315" i="40"/>
  <c r="H315" i="40"/>
  <c r="G315" i="40"/>
  <c r="N314" i="40"/>
  <c r="M314" i="40"/>
  <c r="L314" i="40"/>
  <c r="K314" i="40"/>
  <c r="J314" i="40"/>
  <c r="I314" i="40"/>
  <c r="H314" i="40"/>
  <c r="I311" i="40"/>
  <c r="N310" i="40"/>
  <c r="M310" i="40"/>
  <c r="K310" i="40"/>
  <c r="J310" i="40"/>
  <c r="I310" i="40"/>
  <c r="N308" i="40"/>
  <c r="M308" i="40"/>
  <c r="L308" i="40"/>
  <c r="K308" i="40"/>
  <c r="J308" i="40"/>
  <c r="I308" i="40"/>
  <c r="H308" i="40"/>
  <c r="E303" i="40"/>
  <c r="E441" i="40" s="1"/>
  <c r="E444" i="40" s="1"/>
  <c r="E454" i="40" s="1"/>
  <c r="E302" i="40"/>
  <c r="E440" i="40" s="1"/>
  <c r="N301" i="40"/>
  <c r="M301" i="40"/>
  <c r="L301" i="40"/>
  <c r="K301" i="40"/>
  <c r="J301" i="40"/>
  <c r="I301" i="40"/>
  <c r="H301" i="40"/>
  <c r="G301" i="40"/>
  <c r="N284" i="40"/>
  <c r="N276" i="40" s="1"/>
  <c r="M284" i="40"/>
  <c r="M276" i="40" s="1"/>
  <c r="L284" i="40"/>
  <c r="L276" i="40" s="1"/>
  <c r="K284" i="40"/>
  <c r="K276" i="40" s="1"/>
  <c r="J284" i="40"/>
  <c r="I284" i="40"/>
  <c r="I276" i="40" s="1"/>
  <c r="H284" i="40"/>
  <c r="G284" i="40"/>
  <c r="G276" i="40" s="1"/>
  <c r="J276" i="40"/>
  <c r="H276" i="40"/>
  <c r="N267" i="40"/>
  <c r="M267" i="40"/>
  <c r="L267" i="40"/>
  <c r="K267" i="40"/>
  <c r="J267" i="40"/>
  <c r="I267" i="40"/>
  <c r="H267" i="40"/>
  <c r="G267" i="40"/>
  <c r="N258" i="40"/>
  <c r="M258" i="40"/>
  <c r="L258" i="40"/>
  <c r="K258" i="40"/>
  <c r="J258" i="40"/>
  <c r="I258" i="40"/>
  <c r="H258" i="40"/>
  <c r="G258" i="40"/>
  <c r="F245" i="40"/>
  <c r="E244" i="40"/>
  <c r="E243" i="40"/>
  <c r="K242" i="40"/>
  <c r="K111" i="40" s="1"/>
  <c r="E242" i="40"/>
  <c r="D242" i="40"/>
  <c r="C242" i="40"/>
  <c r="D239" i="40"/>
  <c r="D238" i="40"/>
  <c r="D237" i="40"/>
  <c r="N232" i="40"/>
  <c r="N242" i="40" s="1"/>
  <c r="N111" i="40" s="1"/>
  <c r="M232" i="40"/>
  <c r="M242" i="40" s="1"/>
  <c r="M111" i="40" s="1"/>
  <c r="L232" i="40"/>
  <c r="L242" i="40" s="1"/>
  <c r="K232" i="40"/>
  <c r="J232" i="40"/>
  <c r="J242" i="40" s="1"/>
  <c r="I232" i="40"/>
  <c r="I242" i="40" s="1"/>
  <c r="I111" i="40" s="1"/>
  <c r="H232" i="40"/>
  <c r="H242" i="40" s="1"/>
  <c r="G232" i="40"/>
  <c r="C232" i="40"/>
  <c r="E226" i="40"/>
  <c r="E229" i="40" s="1"/>
  <c r="E239" i="40" s="1"/>
  <c r="E225" i="40"/>
  <c r="N223" i="40"/>
  <c r="M223" i="40"/>
  <c r="L223" i="40"/>
  <c r="K223" i="40"/>
  <c r="J223" i="40"/>
  <c r="I223" i="40"/>
  <c r="H223" i="40"/>
  <c r="G223" i="40"/>
  <c r="N220" i="40"/>
  <c r="M220" i="40"/>
  <c r="L220" i="40"/>
  <c r="K220" i="40"/>
  <c r="J220" i="40"/>
  <c r="I220" i="40"/>
  <c r="H220" i="40"/>
  <c r="G220" i="40"/>
  <c r="E214" i="40"/>
  <c r="D214" i="40"/>
  <c r="F213" i="40"/>
  <c r="F212" i="40"/>
  <c r="E211" i="40"/>
  <c r="D211" i="40"/>
  <c r="E210" i="40"/>
  <c r="D210" i="40"/>
  <c r="E209" i="40"/>
  <c r="D209" i="40"/>
  <c r="E208" i="40"/>
  <c r="D208" i="40"/>
  <c r="E205" i="40"/>
  <c r="D205" i="40"/>
  <c r="E204" i="40"/>
  <c r="D204" i="40"/>
  <c r="E203" i="40"/>
  <c r="D203" i="40"/>
  <c r="D202" i="40"/>
  <c r="D201" i="40"/>
  <c r="D200" i="40"/>
  <c r="D198" i="40"/>
  <c r="N178" i="40"/>
  <c r="M178" i="40"/>
  <c r="L178" i="40"/>
  <c r="K178" i="40"/>
  <c r="J178" i="40"/>
  <c r="I178" i="40"/>
  <c r="H178" i="40"/>
  <c r="G178" i="40"/>
  <c r="E173" i="40"/>
  <c r="D173" i="40"/>
  <c r="E172" i="40"/>
  <c r="D172" i="40"/>
  <c r="E171" i="40"/>
  <c r="D171" i="40"/>
  <c r="E170" i="40"/>
  <c r="D170" i="40"/>
  <c r="E169" i="40"/>
  <c r="D169" i="40"/>
  <c r="E166" i="40"/>
  <c r="D166" i="40"/>
  <c r="E165" i="40"/>
  <c r="D165" i="40"/>
  <c r="E164" i="40"/>
  <c r="N164" i="40" s="1"/>
  <c r="N185" i="40" s="1"/>
  <c r="D164" i="40"/>
  <c r="D161" i="40"/>
  <c r="D159" i="40"/>
  <c r="N155" i="40"/>
  <c r="M155" i="40"/>
  <c r="L155" i="40"/>
  <c r="K155" i="40"/>
  <c r="J155" i="40"/>
  <c r="I155" i="40"/>
  <c r="H155" i="40"/>
  <c r="G155" i="40"/>
  <c r="N154" i="40"/>
  <c r="M154" i="40"/>
  <c r="L154" i="40"/>
  <c r="L172" i="40" s="1"/>
  <c r="L193" i="40" s="1"/>
  <c r="K154" i="40"/>
  <c r="J154" i="40"/>
  <c r="J172" i="40" s="1"/>
  <c r="J193" i="40" s="1"/>
  <c r="I154" i="40"/>
  <c r="H154" i="40"/>
  <c r="H172" i="40" s="1"/>
  <c r="H193" i="40" s="1"/>
  <c r="G154" i="40"/>
  <c r="N153" i="40"/>
  <c r="M153" i="40"/>
  <c r="L153" i="40"/>
  <c r="L171" i="40" s="1"/>
  <c r="L192" i="40" s="1"/>
  <c r="L210" i="40" s="1"/>
  <c r="K153" i="40"/>
  <c r="J153" i="40"/>
  <c r="I153" i="40"/>
  <c r="H153" i="40"/>
  <c r="G153" i="40"/>
  <c r="N152" i="40"/>
  <c r="M152" i="40"/>
  <c r="L152" i="40"/>
  <c r="L170" i="40" s="1"/>
  <c r="L191" i="40" s="1"/>
  <c r="L209" i="40" s="1"/>
  <c r="K152" i="40"/>
  <c r="J152" i="40"/>
  <c r="J170" i="40" s="1"/>
  <c r="J191" i="40" s="1"/>
  <c r="J209" i="40" s="1"/>
  <c r="I152" i="40"/>
  <c r="H152" i="40"/>
  <c r="G152" i="40"/>
  <c r="N151" i="40"/>
  <c r="M151" i="40"/>
  <c r="L151" i="40"/>
  <c r="L169" i="40" s="1"/>
  <c r="L190" i="40" s="1"/>
  <c r="L208" i="40" s="1"/>
  <c r="K151" i="40"/>
  <c r="J151" i="40"/>
  <c r="I151" i="40"/>
  <c r="H151" i="40"/>
  <c r="H169" i="40" s="1"/>
  <c r="H190" i="40" s="1"/>
  <c r="H208" i="40" s="1"/>
  <c r="G151" i="40"/>
  <c r="N148" i="40"/>
  <c r="M148" i="40"/>
  <c r="L148" i="40"/>
  <c r="K148" i="40"/>
  <c r="K166" i="40" s="1"/>
  <c r="K187" i="40" s="1"/>
  <c r="K205" i="40" s="1"/>
  <c r="J148" i="40"/>
  <c r="J166" i="40" s="1"/>
  <c r="J187" i="40" s="1"/>
  <c r="J205" i="40" s="1"/>
  <c r="I148" i="40"/>
  <c r="H148" i="40"/>
  <c r="G148" i="40"/>
  <c r="N147" i="40"/>
  <c r="M147" i="40"/>
  <c r="L147" i="40"/>
  <c r="K147" i="40"/>
  <c r="J147" i="40"/>
  <c r="I147" i="40"/>
  <c r="H147" i="40"/>
  <c r="G147" i="40"/>
  <c r="N146" i="40"/>
  <c r="M146" i="40"/>
  <c r="L146" i="40"/>
  <c r="K146" i="40"/>
  <c r="J146" i="40"/>
  <c r="J164" i="40" s="1"/>
  <c r="J185" i="40" s="1"/>
  <c r="I146" i="40"/>
  <c r="H146" i="40"/>
  <c r="G146" i="40"/>
  <c r="N145" i="40"/>
  <c r="M145" i="40"/>
  <c r="L145" i="40"/>
  <c r="K145" i="40"/>
  <c r="J145" i="40"/>
  <c r="I145" i="40"/>
  <c r="H145" i="40"/>
  <c r="G145" i="40"/>
  <c r="N144" i="40"/>
  <c r="M144" i="40"/>
  <c r="L144" i="40"/>
  <c r="K144" i="40"/>
  <c r="J144" i="40"/>
  <c r="I144" i="40"/>
  <c r="H144" i="40"/>
  <c r="G144" i="40"/>
  <c r="L143" i="40"/>
  <c r="L160" i="40" s="1"/>
  <c r="N139" i="40"/>
  <c r="M139" i="40"/>
  <c r="L139" i="40"/>
  <c r="K139" i="40"/>
  <c r="J139" i="40"/>
  <c r="I139" i="40"/>
  <c r="H139" i="40"/>
  <c r="G139" i="40"/>
  <c r="F136" i="40"/>
  <c r="F135" i="40"/>
  <c r="F134" i="40"/>
  <c r="F133" i="40"/>
  <c r="N132" i="40"/>
  <c r="M132" i="40"/>
  <c r="L132" i="40"/>
  <c r="K132" i="40"/>
  <c r="J132" i="40"/>
  <c r="I132" i="40"/>
  <c r="H132" i="40"/>
  <c r="G132" i="40"/>
  <c r="N131" i="40"/>
  <c r="M131" i="40"/>
  <c r="L131" i="40"/>
  <c r="K131" i="40"/>
  <c r="J131" i="40"/>
  <c r="I131" i="40"/>
  <c r="H131" i="40"/>
  <c r="G131" i="40"/>
  <c r="F130" i="40"/>
  <c r="F129" i="40"/>
  <c r="F128" i="40"/>
  <c r="F127" i="40"/>
  <c r="F126" i="40"/>
  <c r="F123" i="40"/>
  <c r="F122" i="40"/>
  <c r="F121" i="40"/>
  <c r="F120" i="40"/>
  <c r="F119" i="40"/>
  <c r="N118" i="40"/>
  <c r="N143" i="40" s="1"/>
  <c r="N160" i="40" s="1"/>
  <c r="M118" i="40"/>
  <c r="M143" i="40" s="1"/>
  <c r="L118" i="40"/>
  <c r="K118" i="40"/>
  <c r="J118" i="40"/>
  <c r="J143" i="40" s="1"/>
  <c r="J160" i="40" s="1"/>
  <c r="J161" i="40" s="1"/>
  <c r="I118" i="40"/>
  <c r="I143" i="40" s="1"/>
  <c r="H118" i="40"/>
  <c r="H143" i="40" s="1"/>
  <c r="G118" i="40"/>
  <c r="N117" i="40"/>
  <c r="N142" i="40" s="1"/>
  <c r="N158" i="40" s="1"/>
  <c r="M117" i="40"/>
  <c r="M142" i="40" s="1"/>
  <c r="L117" i="40"/>
  <c r="K117" i="40"/>
  <c r="K142" i="40" s="1"/>
  <c r="J117" i="40"/>
  <c r="J142" i="40" s="1"/>
  <c r="J158" i="40" s="1"/>
  <c r="I117" i="40"/>
  <c r="I142" i="40" s="1"/>
  <c r="H117" i="40"/>
  <c r="G117" i="40"/>
  <c r="G333" i="40" s="1"/>
  <c r="N115" i="40"/>
  <c r="M115" i="40"/>
  <c r="L115" i="40"/>
  <c r="K115" i="40"/>
  <c r="J115" i="40"/>
  <c r="I115" i="40"/>
  <c r="H115" i="40"/>
  <c r="G115" i="40"/>
  <c r="N112" i="40"/>
  <c r="M112" i="40"/>
  <c r="L112" i="40"/>
  <c r="K112" i="40"/>
  <c r="J112" i="40"/>
  <c r="I112" i="40"/>
  <c r="H112" i="40"/>
  <c r="G112" i="40"/>
  <c r="L111" i="40"/>
  <c r="J111" i="40"/>
  <c r="H111" i="40"/>
  <c r="N107" i="40"/>
  <c r="M107" i="40"/>
  <c r="L107" i="40"/>
  <c r="K107" i="40"/>
  <c r="J107" i="40"/>
  <c r="I107" i="40"/>
  <c r="H107" i="40"/>
  <c r="G107" i="40"/>
  <c r="N101" i="40"/>
  <c r="M101" i="40"/>
  <c r="L101" i="40"/>
  <c r="K101" i="40"/>
  <c r="J101" i="40"/>
  <c r="I101" i="40"/>
  <c r="H101" i="40"/>
  <c r="G101" i="40"/>
  <c r="F100" i="40"/>
  <c r="F99" i="40"/>
  <c r="F98" i="40"/>
  <c r="N95" i="40"/>
  <c r="M95" i="40"/>
  <c r="L95" i="40"/>
  <c r="K95" i="40"/>
  <c r="J95" i="40"/>
  <c r="I95" i="40"/>
  <c r="H95" i="40"/>
  <c r="G95" i="40"/>
  <c r="N94" i="40"/>
  <c r="K94" i="40"/>
  <c r="J94" i="40"/>
  <c r="I94" i="40"/>
  <c r="H94" i="40"/>
  <c r="G94" i="40"/>
  <c r="F92" i="40"/>
  <c r="C83" i="40"/>
  <c r="F82" i="40"/>
  <c r="F298" i="40" s="1"/>
  <c r="F59" i="40"/>
  <c r="F45" i="40"/>
  <c r="F44" i="40"/>
  <c r="F43" i="40"/>
  <c r="F42" i="40"/>
  <c r="N41" i="40"/>
  <c r="M41" i="40"/>
  <c r="L41" i="40"/>
  <c r="K41" i="40"/>
  <c r="J41" i="40"/>
  <c r="I41" i="40"/>
  <c r="H41" i="40"/>
  <c r="G41" i="40"/>
  <c r="N40" i="40"/>
  <c r="M40" i="40"/>
  <c r="L40" i="40"/>
  <c r="K40" i="40"/>
  <c r="J40" i="40"/>
  <c r="I40" i="40"/>
  <c r="H40" i="40"/>
  <c r="G40" i="40"/>
  <c r="F39" i="40"/>
  <c r="F38" i="40"/>
  <c r="F37" i="40"/>
  <c r="F36" i="40"/>
  <c r="F35" i="40"/>
  <c r="F32" i="40"/>
  <c r="F31" i="40"/>
  <c r="F30" i="40"/>
  <c r="F29" i="40"/>
  <c r="F28" i="40"/>
  <c r="F24" i="40"/>
  <c r="F23" i="40"/>
  <c r="N21" i="40"/>
  <c r="N15" i="40" s="1"/>
  <c r="N13" i="40" s="1"/>
  <c r="N18" i="40"/>
  <c r="M18" i="40"/>
  <c r="L18" i="40"/>
  <c r="K18" i="40"/>
  <c r="J18" i="40"/>
  <c r="I18" i="40"/>
  <c r="H18" i="40"/>
  <c r="N12" i="40"/>
  <c r="N306" i="40" s="1"/>
  <c r="M12" i="40"/>
  <c r="M306" i="40" s="1"/>
  <c r="L12" i="40"/>
  <c r="L306" i="40" s="1"/>
  <c r="K12" i="40"/>
  <c r="K306" i="40" s="1"/>
  <c r="J12" i="40"/>
  <c r="J306" i="40" s="1"/>
  <c r="I12" i="40"/>
  <c r="I306" i="40" s="1"/>
  <c r="H12" i="40"/>
  <c r="H306" i="40" s="1"/>
  <c r="G12" i="40"/>
  <c r="G306" i="40" s="1"/>
  <c r="N11" i="40"/>
  <c r="N305" i="40" s="1"/>
  <c r="M11" i="40"/>
  <c r="M305" i="40" s="1"/>
  <c r="L11" i="40"/>
  <c r="L305" i="40" s="1"/>
  <c r="K11" i="40"/>
  <c r="K305" i="40" s="1"/>
  <c r="J11" i="40"/>
  <c r="J305" i="40" s="1"/>
  <c r="I11" i="40"/>
  <c r="I305" i="40" s="1"/>
  <c r="H11" i="40"/>
  <c r="H305" i="40" s="1"/>
  <c r="G11" i="40"/>
  <c r="G305" i="40" s="1"/>
  <c r="N10" i="40"/>
  <c r="N304" i="40" s="1"/>
  <c r="M10" i="40"/>
  <c r="M304" i="40" s="1"/>
  <c r="L10" i="40"/>
  <c r="L304" i="40" s="1"/>
  <c r="K10" i="40"/>
  <c r="K304" i="40" s="1"/>
  <c r="J10" i="40"/>
  <c r="J304" i="40" s="1"/>
  <c r="I10" i="40"/>
  <c r="I304" i="40" s="1"/>
  <c r="H10" i="40"/>
  <c r="H304" i="40" s="1"/>
  <c r="G10" i="40"/>
  <c r="G304" i="40" s="1"/>
  <c r="N9" i="40"/>
  <c r="N27" i="40" s="1"/>
  <c r="M9" i="40"/>
  <c r="M27" i="40" s="1"/>
  <c r="L9" i="40"/>
  <c r="L27" i="40" s="1"/>
  <c r="K9" i="40"/>
  <c r="K26" i="40" s="1"/>
  <c r="J9" i="40"/>
  <c r="J27" i="40" s="1"/>
  <c r="I9" i="40"/>
  <c r="I27" i="40" s="1"/>
  <c r="H9" i="40"/>
  <c r="H27" i="40" s="1"/>
  <c r="G9" i="40"/>
  <c r="N8" i="40"/>
  <c r="M8" i="40"/>
  <c r="M300" i="40" s="1"/>
  <c r="L8" i="40"/>
  <c r="L21" i="40" s="1"/>
  <c r="L15" i="40" s="1"/>
  <c r="L13" i="40" s="1"/>
  <c r="K8" i="40"/>
  <c r="J8" i="40"/>
  <c r="J21" i="40" s="1"/>
  <c r="J15" i="40" s="1"/>
  <c r="J13" i="40" s="1"/>
  <c r="I8" i="40"/>
  <c r="I300" i="40" s="1"/>
  <c r="H8" i="40"/>
  <c r="H21" i="40" s="1"/>
  <c r="H15" i="40" s="1"/>
  <c r="H13" i="40" s="1"/>
  <c r="G8" i="40"/>
  <c r="N3" i="40"/>
  <c r="N302" i="40" s="1"/>
  <c r="M3" i="40"/>
  <c r="M302" i="40" s="1"/>
  <c r="M355" i="40" s="1"/>
  <c r="L3" i="40"/>
  <c r="L302" i="40" s="1"/>
  <c r="K3" i="40"/>
  <c r="K302" i="40" s="1"/>
  <c r="J3" i="40"/>
  <c r="J302" i="40" s="1"/>
  <c r="I3" i="40"/>
  <c r="I302" i="40" s="1"/>
  <c r="H3" i="40"/>
  <c r="H302" i="40" s="1"/>
  <c r="G3" i="40"/>
  <c r="G302" i="40" s="1"/>
  <c r="F147" i="41" l="1"/>
  <c r="I164" i="40"/>
  <c r="I185" i="40" s="1"/>
  <c r="I172" i="40"/>
  <c r="I193" i="40" s="1"/>
  <c r="H204" i="41"/>
  <c r="F155" i="41"/>
  <c r="F335" i="41"/>
  <c r="M172" i="40"/>
  <c r="M193" i="40" s="1"/>
  <c r="F232" i="40"/>
  <c r="L171" i="41"/>
  <c r="L192" i="41" s="1"/>
  <c r="L210" i="41" s="1"/>
  <c r="K194" i="40"/>
  <c r="N166" i="40"/>
  <c r="N187" i="40" s="1"/>
  <c r="N205" i="40" s="1"/>
  <c r="N170" i="40"/>
  <c r="N191" i="40" s="1"/>
  <c r="N209" i="40" s="1"/>
  <c r="N172" i="40"/>
  <c r="N193" i="40" s="1"/>
  <c r="N211" i="40" s="1"/>
  <c r="G328" i="40"/>
  <c r="M169" i="41"/>
  <c r="M190" i="41" s="1"/>
  <c r="M208" i="41" s="1"/>
  <c r="I169" i="41"/>
  <c r="I190" i="41" s="1"/>
  <c r="I208" i="41" s="1"/>
  <c r="M94" i="40"/>
  <c r="N161" i="40"/>
  <c r="F145" i="40"/>
  <c r="G165" i="40"/>
  <c r="G186" i="40" s="1"/>
  <c r="F145" i="41"/>
  <c r="N204" i="41"/>
  <c r="N169" i="41"/>
  <c r="N190" i="41" s="1"/>
  <c r="N208" i="41" s="1"/>
  <c r="H165" i="40"/>
  <c r="H186" i="40" s="1"/>
  <c r="H204" i="40" s="1"/>
  <c r="H170" i="41"/>
  <c r="H191" i="41" s="1"/>
  <c r="H209" i="41" s="1"/>
  <c r="F315" i="41"/>
  <c r="J171" i="40"/>
  <c r="J192" i="40" s="1"/>
  <c r="J210" i="40" s="1"/>
  <c r="G194" i="41"/>
  <c r="G214" i="41" s="1"/>
  <c r="I164" i="41"/>
  <c r="I185" i="41" s="1"/>
  <c r="I166" i="41"/>
  <c r="I187" i="41" s="1"/>
  <c r="I205" i="41" s="1"/>
  <c r="I170" i="41"/>
  <c r="I191" i="41" s="1"/>
  <c r="I209" i="41" s="1"/>
  <c r="I211" i="41"/>
  <c r="H310" i="41"/>
  <c r="L94" i="37"/>
  <c r="K165" i="40"/>
  <c r="K186" i="40" s="1"/>
  <c r="K204" i="40" s="1"/>
  <c r="K173" i="40"/>
  <c r="F343" i="40"/>
  <c r="K173" i="41"/>
  <c r="K310" i="41"/>
  <c r="F345" i="41"/>
  <c r="F41" i="41"/>
  <c r="F339" i="41"/>
  <c r="L165" i="40"/>
  <c r="L186" i="40" s="1"/>
  <c r="L204" i="40" s="1"/>
  <c r="N169" i="40"/>
  <c r="N190" i="40" s="1"/>
  <c r="N208" i="40" s="1"/>
  <c r="F337" i="40"/>
  <c r="K94" i="41"/>
  <c r="M164" i="41"/>
  <c r="M185" i="41" s="1"/>
  <c r="M203" i="41" s="1"/>
  <c r="M106" i="41" s="1"/>
  <c r="M166" i="41"/>
  <c r="M187" i="41" s="1"/>
  <c r="M205" i="41" s="1"/>
  <c r="M170" i="41"/>
  <c r="M191" i="41" s="1"/>
  <c r="M209" i="41" s="1"/>
  <c r="F349" i="41"/>
  <c r="F351" i="40"/>
  <c r="M165" i="40"/>
  <c r="M186" i="40" s="1"/>
  <c r="M204" i="40" s="1"/>
  <c r="L163" i="40"/>
  <c r="L184" i="40" s="1"/>
  <c r="G164" i="40"/>
  <c r="G185" i="40" s="1"/>
  <c r="M94" i="41"/>
  <c r="L328" i="37"/>
  <c r="G203" i="40"/>
  <c r="I173" i="40"/>
  <c r="F316" i="40"/>
  <c r="M141" i="41"/>
  <c r="L26" i="40"/>
  <c r="F151" i="40"/>
  <c r="N171" i="40"/>
  <c r="N192" i="40" s="1"/>
  <c r="N210" i="40" s="1"/>
  <c r="J211" i="40"/>
  <c r="G169" i="40"/>
  <c r="G190" i="40" s="1"/>
  <c r="J173" i="40"/>
  <c r="F323" i="40"/>
  <c r="J438" i="40"/>
  <c r="M142" i="41"/>
  <c r="K203" i="41"/>
  <c r="J169" i="41"/>
  <c r="J190" i="41" s="1"/>
  <c r="J208" i="41" s="1"/>
  <c r="N172" i="41"/>
  <c r="N193" i="41" s="1"/>
  <c r="N211" i="41" s="1"/>
  <c r="J70" i="6"/>
  <c r="K172" i="41"/>
  <c r="K193" i="41" s="1"/>
  <c r="K211" i="41" s="1"/>
  <c r="N173" i="41"/>
  <c r="N166" i="41"/>
  <c r="N187" i="41" s="1"/>
  <c r="N205" i="41" s="1"/>
  <c r="H172" i="41"/>
  <c r="H193" i="41" s="1"/>
  <c r="H211" i="41" s="1"/>
  <c r="K214" i="40"/>
  <c r="J141" i="40"/>
  <c r="N165" i="40"/>
  <c r="N186" i="40" s="1"/>
  <c r="N204" i="40" s="1"/>
  <c r="I169" i="40"/>
  <c r="I190" i="40" s="1"/>
  <c r="I208" i="40" s="1"/>
  <c r="M170" i="40"/>
  <c r="M191" i="40" s="1"/>
  <c r="M209" i="40" s="1"/>
  <c r="I211" i="40"/>
  <c r="L173" i="40"/>
  <c r="F349" i="40"/>
  <c r="L438" i="40"/>
  <c r="H166" i="41"/>
  <c r="H187" i="41" s="1"/>
  <c r="H205" i="41" s="1"/>
  <c r="L169" i="41"/>
  <c r="L190" i="41" s="1"/>
  <c r="L208" i="41" s="1"/>
  <c r="F153" i="41"/>
  <c r="J310" i="41"/>
  <c r="J438" i="41"/>
  <c r="K94" i="37"/>
  <c r="L94" i="40"/>
  <c r="N141" i="40"/>
  <c r="K164" i="40"/>
  <c r="K185" i="40" s="1"/>
  <c r="K203" i="40" s="1"/>
  <c r="J169" i="40"/>
  <c r="J190" i="40" s="1"/>
  <c r="J208" i="40" s="1"/>
  <c r="M173" i="40"/>
  <c r="L94" i="41"/>
  <c r="M172" i="41"/>
  <c r="M193" i="41" s="1"/>
  <c r="M211" i="41" s="1"/>
  <c r="K438" i="41"/>
  <c r="K169" i="40"/>
  <c r="K190" i="40" s="1"/>
  <c r="K208" i="40" s="1"/>
  <c r="G171" i="40"/>
  <c r="G192" i="40" s="1"/>
  <c r="N173" i="40"/>
  <c r="H328" i="40"/>
  <c r="F460" i="40"/>
  <c r="J166" i="41"/>
  <c r="J187" i="41" s="1"/>
  <c r="J205" i="41" s="1"/>
  <c r="J210" i="41"/>
  <c r="K194" i="37"/>
  <c r="N162" i="40"/>
  <c r="N183" i="40" s="1"/>
  <c r="H211" i="40"/>
  <c r="N363" i="40"/>
  <c r="N381" i="40" s="1"/>
  <c r="N402" i="40" s="1"/>
  <c r="N420" i="40" s="1"/>
  <c r="N52" i="40" s="1"/>
  <c r="M164" i="40"/>
  <c r="M185" i="40" s="1"/>
  <c r="I166" i="40"/>
  <c r="I187" i="40" s="1"/>
  <c r="I205" i="40" s="1"/>
  <c r="F153" i="40"/>
  <c r="L211" i="40"/>
  <c r="H310" i="40"/>
  <c r="M21" i="41"/>
  <c r="M15" i="41" s="1"/>
  <c r="M13" i="41" s="1"/>
  <c r="M63" i="41" s="1"/>
  <c r="I66" i="41"/>
  <c r="K205" i="41"/>
  <c r="K210" i="41"/>
  <c r="N170" i="41"/>
  <c r="N191" i="41" s="1"/>
  <c r="N209" i="41" s="1"/>
  <c r="N310" i="41"/>
  <c r="K328" i="37"/>
  <c r="F41" i="40"/>
  <c r="M169" i="40"/>
  <c r="M190" i="40" s="1"/>
  <c r="M208" i="40" s="1"/>
  <c r="I171" i="40"/>
  <c r="I192" i="40" s="1"/>
  <c r="I210" i="40" s="1"/>
  <c r="M211" i="40"/>
  <c r="F317" i="40"/>
  <c r="M66" i="41"/>
  <c r="N164" i="41"/>
  <c r="N185" i="41" s="1"/>
  <c r="F147" i="40"/>
  <c r="K171" i="40"/>
  <c r="K192" i="40" s="1"/>
  <c r="F155" i="40"/>
  <c r="M26" i="41"/>
  <c r="M333" i="41" s="1"/>
  <c r="M358" i="41" s="1"/>
  <c r="K348" i="41"/>
  <c r="J162" i="40"/>
  <c r="J183" i="40" s="1"/>
  <c r="I165" i="40"/>
  <c r="I186" i="40" s="1"/>
  <c r="I204" i="40" s="1"/>
  <c r="M166" i="40"/>
  <c r="M187" i="40" s="1"/>
  <c r="M205" i="40" s="1"/>
  <c r="H170" i="40"/>
  <c r="H191" i="40" s="1"/>
  <c r="H209" i="40" s="1"/>
  <c r="G173" i="40"/>
  <c r="L310" i="40"/>
  <c r="K170" i="41"/>
  <c r="K191" i="41" s="1"/>
  <c r="K209" i="41" s="1"/>
  <c r="J173" i="41"/>
  <c r="N171" i="41"/>
  <c r="N192" i="41" s="1"/>
  <c r="N210" i="41" s="1"/>
  <c r="J141" i="37"/>
  <c r="F40" i="40"/>
  <c r="J165" i="40"/>
  <c r="J186" i="40" s="1"/>
  <c r="J204" i="40" s="1"/>
  <c r="I170" i="40"/>
  <c r="I191" i="40" s="1"/>
  <c r="I209" i="40" s="1"/>
  <c r="M171" i="40"/>
  <c r="M192" i="40" s="1"/>
  <c r="M210" i="40" s="1"/>
  <c r="H173" i="40"/>
  <c r="F428" i="40"/>
  <c r="G370" i="41"/>
  <c r="G388" i="41" s="1"/>
  <c r="G409" i="41" s="1"/>
  <c r="M348" i="41"/>
  <c r="I203" i="41"/>
  <c r="S53" i="32"/>
  <c r="S54" i="32" s="1"/>
  <c r="Q44" i="32" s="1"/>
  <c r="H84" i="34" s="1"/>
  <c r="I84" i="34" s="1"/>
  <c r="Q35" i="32"/>
  <c r="H76" i="34" s="1"/>
  <c r="I76" i="34" s="1"/>
  <c r="J47" i="6"/>
  <c r="L141" i="37"/>
  <c r="K371" i="37"/>
  <c r="K367" i="37"/>
  <c r="K361" i="37"/>
  <c r="K368" i="37"/>
  <c r="K362" i="37"/>
  <c r="K369" i="37"/>
  <c r="K363" i="37"/>
  <c r="K360" i="37"/>
  <c r="K364" i="37"/>
  <c r="K370" i="37"/>
  <c r="J435" i="37"/>
  <c r="J355" i="37"/>
  <c r="J394" i="37"/>
  <c r="J331" i="37"/>
  <c r="J300" i="37"/>
  <c r="J66" i="37"/>
  <c r="L368" i="37"/>
  <c r="L362" i="37"/>
  <c r="L369" i="37"/>
  <c r="L363" i="37"/>
  <c r="L370" i="37"/>
  <c r="L364" i="37"/>
  <c r="L360" i="37"/>
  <c r="L361" i="37"/>
  <c r="L367" i="37"/>
  <c r="J21" i="37"/>
  <c r="J15" i="37" s="1"/>
  <c r="J13" i="37" s="1"/>
  <c r="K26" i="37"/>
  <c r="K333" i="37" s="1"/>
  <c r="K141" i="37"/>
  <c r="K142" i="37"/>
  <c r="K394" i="37"/>
  <c r="K331" i="37"/>
  <c r="K355" i="37"/>
  <c r="K435" i="37"/>
  <c r="K300" i="37"/>
  <c r="K66" i="37"/>
  <c r="K21" i="37"/>
  <c r="K15" i="37" s="1"/>
  <c r="K13" i="37" s="1"/>
  <c r="J27" i="37"/>
  <c r="J334" i="37" s="1"/>
  <c r="J359" i="37" s="1"/>
  <c r="L143" i="37"/>
  <c r="L331" i="37"/>
  <c r="L435" i="37"/>
  <c r="L355" i="37"/>
  <c r="L394" i="37"/>
  <c r="L499" i="37"/>
  <c r="L491" i="37" s="1"/>
  <c r="L473" i="37"/>
  <c r="J370" i="37"/>
  <c r="J364" i="37"/>
  <c r="J360" i="37"/>
  <c r="J371" i="37"/>
  <c r="J367" i="37"/>
  <c r="J361" i="37"/>
  <c r="J368" i="37"/>
  <c r="J362" i="37"/>
  <c r="J369" i="37"/>
  <c r="J363" i="37"/>
  <c r="J160" i="37"/>
  <c r="J163" i="37" s="1"/>
  <c r="J184" i="37" s="1"/>
  <c r="K160" i="37"/>
  <c r="L482" i="37"/>
  <c r="L333" i="37"/>
  <c r="J347" i="37"/>
  <c r="J410" i="37" s="1"/>
  <c r="J194" i="37"/>
  <c r="K348" i="37"/>
  <c r="J142" i="37"/>
  <c r="J457" i="37"/>
  <c r="J327" i="37" s="1"/>
  <c r="J310" i="37"/>
  <c r="K347" i="37"/>
  <c r="L348" i="37"/>
  <c r="J438" i="37"/>
  <c r="J328" i="37"/>
  <c r="J333" i="37"/>
  <c r="J358" i="37" s="1"/>
  <c r="K334" i="37"/>
  <c r="K359" i="37" s="1"/>
  <c r="L347" i="37"/>
  <c r="L142" i="37"/>
  <c r="F223" i="40"/>
  <c r="F438" i="40" s="1"/>
  <c r="F112" i="40"/>
  <c r="J163" i="40"/>
  <c r="J184" i="40" s="1"/>
  <c r="N163" i="40"/>
  <c r="N184" i="40" s="1"/>
  <c r="F328" i="40"/>
  <c r="I173" i="41"/>
  <c r="J27" i="41"/>
  <c r="I26" i="41"/>
  <c r="F26" i="41" s="1"/>
  <c r="I141" i="41"/>
  <c r="K26" i="41"/>
  <c r="K333" i="41" s="1"/>
  <c r="K358" i="41" s="1"/>
  <c r="F328" i="41"/>
  <c r="I21" i="41"/>
  <c r="I15" i="41" s="1"/>
  <c r="I13" i="41" s="1"/>
  <c r="I67" i="41" s="1"/>
  <c r="K66" i="41"/>
  <c r="K21" i="41"/>
  <c r="K15" i="41" s="1"/>
  <c r="K13" i="41" s="1"/>
  <c r="K77" i="41" s="1"/>
  <c r="K80" i="41" s="1"/>
  <c r="K4" i="41" s="1"/>
  <c r="F112" i="41"/>
  <c r="L161" i="41"/>
  <c r="L182" i="41" s="1"/>
  <c r="G142" i="41"/>
  <c r="L66" i="41"/>
  <c r="L21" i="41"/>
  <c r="L15" i="41" s="1"/>
  <c r="L13" i="41" s="1"/>
  <c r="L300" i="41"/>
  <c r="L368" i="41"/>
  <c r="L386" i="41" s="1"/>
  <c r="L362" i="41"/>
  <c r="L380" i="41" s="1"/>
  <c r="L401" i="41" s="1"/>
  <c r="L371" i="41"/>
  <c r="L389" i="41" s="1"/>
  <c r="L367" i="41"/>
  <c r="L385" i="41" s="1"/>
  <c r="L361" i="41"/>
  <c r="L370" i="41"/>
  <c r="L388" i="41" s="1"/>
  <c r="L364" i="41"/>
  <c r="L382" i="41" s="1"/>
  <c r="L403" i="41" s="1"/>
  <c r="L421" i="41" s="1"/>
  <c r="L360" i="41"/>
  <c r="L369" i="41"/>
  <c r="L387" i="41" s="1"/>
  <c r="L408" i="41" s="1"/>
  <c r="L426" i="41" s="1"/>
  <c r="L363" i="41"/>
  <c r="L381" i="41" s="1"/>
  <c r="H300" i="41"/>
  <c r="H66" i="41"/>
  <c r="H21" i="41"/>
  <c r="H15" i="41" s="1"/>
  <c r="H13" i="41" s="1"/>
  <c r="H368" i="41"/>
  <c r="H386" i="41" s="1"/>
  <c r="H362" i="41"/>
  <c r="H380" i="41" s="1"/>
  <c r="H401" i="41" s="1"/>
  <c r="H371" i="41"/>
  <c r="H389" i="41" s="1"/>
  <c r="H367" i="41"/>
  <c r="H385" i="41" s="1"/>
  <c r="H406" i="41" s="1"/>
  <c r="H424" i="41" s="1"/>
  <c r="H361" i="41"/>
  <c r="H370" i="41"/>
  <c r="H388" i="41" s="1"/>
  <c r="H409" i="41" s="1"/>
  <c r="H427" i="41" s="1"/>
  <c r="H364" i="41"/>
  <c r="H382" i="41" s="1"/>
  <c r="H403" i="41" s="1"/>
  <c r="H421" i="41" s="1"/>
  <c r="H53" i="41" s="1"/>
  <c r="H360" i="41"/>
  <c r="H369" i="41"/>
  <c r="H387" i="41" s="1"/>
  <c r="H363" i="41"/>
  <c r="H381" i="41" s="1"/>
  <c r="H169" i="41"/>
  <c r="H190" i="41" s="1"/>
  <c r="H208" i="41" s="1"/>
  <c r="F151" i="41"/>
  <c r="H203" i="41"/>
  <c r="M67" i="41"/>
  <c r="F144" i="41"/>
  <c r="N163" i="41"/>
  <c r="N184" i="41" s="1"/>
  <c r="I204" i="41"/>
  <c r="M204" i="41"/>
  <c r="L27" i="41"/>
  <c r="H333" i="41"/>
  <c r="H142" i="41"/>
  <c r="H141" i="41"/>
  <c r="F117" i="41"/>
  <c r="L333" i="41"/>
  <c r="L358" i="41" s="1"/>
  <c r="L142" i="41"/>
  <c r="L141" i="41"/>
  <c r="I348" i="41"/>
  <c r="I194" i="41"/>
  <c r="I214" i="41" s="1"/>
  <c r="I158" i="41"/>
  <c r="I159" i="41" s="1"/>
  <c r="G210" i="41"/>
  <c r="M194" i="41"/>
  <c r="M214" i="41" s="1"/>
  <c r="I435" i="41"/>
  <c r="I394" i="41"/>
  <c r="I355" i="41"/>
  <c r="I331" i="41"/>
  <c r="M435" i="41"/>
  <c r="M394" i="41"/>
  <c r="M355" i="41"/>
  <c r="M331" i="41"/>
  <c r="G172" i="41"/>
  <c r="G193" i="41" s="1"/>
  <c r="F154" i="41"/>
  <c r="N203" i="41"/>
  <c r="F173" i="41"/>
  <c r="F107" i="41"/>
  <c r="I334" i="41"/>
  <c r="I143" i="41"/>
  <c r="J347" i="41"/>
  <c r="J194" i="41"/>
  <c r="J214" i="41" s="1"/>
  <c r="G164" i="41"/>
  <c r="G185" i="41" s="1"/>
  <c r="F146" i="41"/>
  <c r="M173" i="41"/>
  <c r="G394" i="41"/>
  <c r="G435" i="41"/>
  <c r="G331" i="41"/>
  <c r="G355" i="41"/>
  <c r="K394" i="41"/>
  <c r="K331" i="41"/>
  <c r="K355" i="41"/>
  <c r="K435" i="41"/>
  <c r="N27" i="41"/>
  <c r="F101" i="41"/>
  <c r="J333" i="41"/>
  <c r="J358" i="41" s="1"/>
  <c r="J142" i="41"/>
  <c r="N333" i="41"/>
  <c r="N358" i="41" s="1"/>
  <c r="N142" i="41"/>
  <c r="N182" i="41"/>
  <c r="G348" i="41"/>
  <c r="F132" i="41"/>
  <c r="N141" i="41"/>
  <c r="M158" i="41"/>
  <c r="M162" i="41" s="1"/>
  <c r="M183" i="41" s="1"/>
  <c r="G165" i="41"/>
  <c r="G186" i="41" s="1"/>
  <c r="K165" i="41"/>
  <c r="K186" i="41" s="1"/>
  <c r="G166" i="41"/>
  <c r="G187" i="41" s="1"/>
  <c r="F148" i="41"/>
  <c r="I171" i="41"/>
  <c r="I192" i="41" s="1"/>
  <c r="I210" i="41" s="1"/>
  <c r="M171" i="41"/>
  <c r="M192" i="41" s="1"/>
  <c r="M210" i="41" s="1"/>
  <c r="H173" i="41"/>
  <c r="L173" i="41"/>
  <c r="L164" i="41"/>
  <c r="L185" i="41" s="1"/>
  <c r="L166" i="41"/>
  <c r="L187" i="41" s="1"/>
  <c r="L205" i="41" s="1"/>
  <c r="L170" i="41"/>
  <c r="L191" i="41" s="1"/>
  <c r="L209" i="41" s="1"/>
  <c r="H171" i="41"/>
  <c r="H192" i="41" s="1"/>
  <c r="H210" i="41" s="1"/>
  <c r="L172" i="41"/>
  <c r="L193" i="41" s="1"/>
  <c r="L211" i="41" s="1"/>
  <c r="G173" i="41"/>
  <c r="M334" i="41"/>
  <c r="M359" i="41" s="1"/>
  <c r="M143" i="41"/>
  <c r="N347" i="41"/>
  <c r="N410" i="41" s="1"/>
  <c r="N430" i="41" s="1"/>
  <c r="N194" i="41"/>
  <c r="N214" i="41" s="1"/>
  <c r="K158" i="41"/>
  <c r="K162" i="41" s="1"/>
  <c r="K183" i="41" s="1"/>
  <c r="J300" i="41"/>
  <c r="J66" i="41"/>
  <c r="J21" i="41"/>
  <c r="J15" i="41" s="1"/>
  <c r="J13" i="41" s="1"/>
  <c r="N300" i="41"/>
  <c r="N66" i="41"/>
  <c r="N21" i="41"/>
  <c r="N15" i="41" s="1"/>
  <c r="N13" i="41" s="1"/>
  <c r="J370" i="41"/>
  <c r="J388" i="41" s="1"/>
  <c r="J364" i="41"/>
  <c r="J382" i="41" s="1"/>
  <c r="J360" i="41"/>
  <c r="J369" i="41"/>
  <c r="J387" i="41" s="1"/>
  <c r="J408" i="41" s="1"/>
  <c r="J426" i="41" s="1"/>
  <c r="J363" i="41"/>
  <c r="J381" i="41" s="1"/>
  <c r="J402" i="41" s="1"/>
  <c r="J420" i="41" s="1"/>
  <c r="J52" i="41" s="1"/>
  <c r="J368" i="41"/>
  <c r="J386" i="41" s="1"/>
  <c r="J407" i="41" s="1"/>
  <c r="J425" i="41" s="1"/>
  <c r="J362" i="41"/>
  <c r="J380" i="41" s="1"/>
  <c r="J401" i="41" s="1"/>
  <c r="J371" i="41"/>
  <c r="J389" i="41" s="1"/>
  <c r="J367" i="41"/>
  <c r="J385" i="41" s="1"/>
  <c r="J406" i="41" s="1"/>
  <c r="J424" i="41" s="1"/>
  <c r="J54" i="41" s="1"/>
  <c r="J361" i="41"/>
  <c r="N370" i="41"/>
  <c r="N388" i="41" s="1"/>
  <c r="N409" i="41" s="1"/>
  <c r="N427" i="41" s="1"/>
  <c r="N57" i="41" s="1"/>
  <c r="N364" i="41"/>
  <c r="N382" i="41" s="1"/>
  <c r="N360" i="41"/>
  <c r="N369" i="41"/>
  <c r="N387" i="41" s="1"/>
  <c r="N363" i="41"/>
  <c r="N381" i="41" s="1"/>
  <c r="N368" i="41"/>
  <c r="N386" i="41" s="1"/>
  <c r="N407" i="41" s="1"/>
  <c r="N425" i="41" s="1"/>
  <c r="N362" i="41"/>
  <c r="N380" i="41" s="1"/>
  <c r="N401" i="41" s="1"/>
  <c r="N367" i="41"/>
  <c r="N385" i="41" s="1"/>
  <c r="N406" i="41" s="1"/>
  <c r="N424" i="41" s="1"/>
  <c r="N54" i="41" s="1"/>
  <c r="N361" i="41"/>
  <c r="N371" i="41"/>
  <c r="N389" i="41" s="1"/>
  <c r="G141" i="41"/>
  <c r="G143" i="41"/>
  <c r="F118" i="41"/>
  <c r="K141" i="41"/>
  <c r="K334" i="41"/>
  <c r="K359" i="41" s="1"/>
  <c r="K143" i="41"/>
  <c r="H347" i="41"/>
  <c r="H194" i="41"/>
  <c r="H214" i="41" s="1"/>
  <c r="L347" i="41"/>
  <c r="L194" i="41"/>
  <c r="L214" i="41" s="1"/>
  <c r="G169" i="41"/>
  <c r="G190" i="41" s="1"/>
  <c r="K169" i="41"/>
  <c r="K190" i="41" s="1"/>
  <c r="K208" i="41" s="1"/>
  <c r="G170" i="41"/>
  <c r="G191" i="41" s="1"/>
  <c r="F152" i="41"/>
  <c r="K194" i="41"/>
  <c r="K214" i="41" s="1"/>
  <c r="F232" i="41"/>
  <c r="F242" i="41" s="1"/>
  <c r="G242" i="41" s="1"/>
  <c r="G111" i="41" s="1"/>
  <c r="F111" i="41" s="1"/>
  <c r="M371" i="41"/>
  <c r="M389" i="41" s="1"/>
  <c r="M367" i="41"/>
  <c r="M385" i="41" s="1"/>
  <c r="M406" i="41" s="1"/>
  <c r="M424" i="41" s="1"/>
  <c r="M54" i="41" s="1"/>
  <c r="M361" i="41"/>
  <c r="M370" i="41"/>
  <c r="M388" i="41" s="1"/>
  <c r="M409" i="41" s="1"/>
  <c r="M427" i="41" s="1"/>
  <c r="M57" i="41" s="1"/>
  <c r="M364" i="41"/>
  <c r="M382" i="41" s="1"/>
  <c r="M403" i="41" s="1"/>
  <c r="M421" i="41" s="1"/>
  <c r="M53" i="41" s="1"/>
  <c r="M360" i="41"/>
  <c r="M369" i="41"/>
  <c r="M387" i="41" s="1"/>
  <c r="M363" i="41"/>
  <c r="M381" i="41" s="1"/>
  <c r="M368" i="41"/>
  <c r="M386" i="41" s="1"/>
  <c r="M407" i="41" s="1"/>
  <c r="M425" i="41" s="1"/>
  <c r="H435" i="41"/>
  <c r="H331" i="41"/>
  <c r="H394" i="41"/>
  <c r="H355" i="41"/>
  <c r="L435" i="41"/>
  <c r="L331" i="41"/>
  <c r="L355" i="41"/>
  <c r="L394" i="41"/>
  <c r="I482" i="41"/>
  <c r="I473" i="41"/>
  <c r="I499" i="41"/>
  <c r="I491" i="41" s="1"/>
  <c r="M499" i="41"/>
  <c r="M491" i="41" s="1"/>
  <c r="M482" i="41"/>
  <c r="M473" i="41"/>
  <c r="I371" i="41"/>
  <c r="I389" i="41" s="1"/>
  <c r="I367" i="41"/>
  <c r="I385" i="41" s="1"/>
  <c r="I361" i="41"/>
  <c r="I370" i="41"/>
  <c r="I388" i="41" s="1"/>
  <c r="I409" i="41" s="1"/>
  <c r="I427" i="41" s="1"/>
  <c r="I364" i="41"/>
  <c r="I382" i="41" s="1"/>
  <c r="I403" i="41" s="1"/>
  <c r="I421" i="41" s="1"/>
  <c r="I53" i="41" s="1"/>
  <c r="I360" i="41"/>
  <c r="I369" i="41"/>
  <c r="I387" i="41" s="1"/>
  <c r="I408" i="41" s="1"/>
  <c r="I426" i="41" s="1"/>
  <c r="I363" i="41"/>
  <c r="I381" i="41" s="1"/>
  <c r="I402" i="41" s="1"/>
  <c r="I420" i="41" s="1"/>
  <c r="I52" i="41" s="1"/>
  <c r="I359" i="41"/>
  <c r="I362" i="41"/>
  <c r="I380" i="41" s="1"/>
  <c r="I401" i="41" s="1"/>
  <c r="J334" i="41"/>
  <c r="J359" i="41" s="1"/>
  <c r="N334" i="41"/>
  <c r="N359" i="41" s="1"/>
  <c r="G347" i="41"/>
  <c r="K347" i="41"/>
  <c r="J348" i="41"/>
  <c r="N348" i="41"/>
  <c r="F223" i="41"/>
  <c r="F438" i="41" s="1"/>
  <c r="H242" i="41"/>
  <c r="H111" i="41" s="1"/>
  <c r="F336" i="41"/>
  <c r="M402" i="41"/>
  <c r="M420" i="41" s="1"/>
  <c r="H407" i="41"/>
  <c r="H425" i="41" s="1"/>
  <c r="F343" i="41"/>
  <c r="L407" i="41"/>
  <c r="L425" i="41" s="1"/>
  <c r="M362" i="41"/>
  <c r="M380" i="41" s="1"/>
  <c r="M401" i="41" s="1"/>
  <c r="J435" i="41"/>
  <c r="J394" i="41"/>
  <c r="J355" i="41"/>
  <c r="J331" i="41"/>
  <c r="N435" i="41"/>
  <c r="N355" i="41"/>
  <c r="N394" i="41"/>
  <c r="N331" i="41"/>
  <c r="G499" i="41"/>
  <c r="G491" i="41" s="1"/>
  <c r="G482" i="41"/>
  <c r="G473" i="41"/>
  <c r="K499" i="41"/>
  <c r="K491" i="41" s="1"/>
  <c r="K482" i="41"/>
  <c r="K473" i="41"/>
  <c r="G369" i="41"/>
  <c r="G363" i="41"/>
  <c r="G368" i="41"/>
  <c r="G362" i="41"/>
  <c r="G358" i="41"/>
  <c r="G371" i="41"/>
  <c r="G367" i="41"/>
  <c r="G361" i="41"/>
  <c r="G364" i="41"/>
  <c r="G360" i="41"/>
  <c r="K369" i="41"/>
  <c r="K387" i="41" s="1"/>
  <c r="K363" i="41"/>
  <c r="K381" i="41" s="1"/>
  <c r="K402" i="41" s="1"/>
  <c r="K420" i="41" s="1"/>
  <c r="K368" i="41"/>
  <c r="K386" i="41" s="1"/>
  <c r="K407" i="41" s="1"/>
  <c r="K425" i="41" s="1"/>
  <c r="K362" i="41"/>
  <c r="K380" i="41" s="1"/>
  <c r="K401" i="41" s="1"/>
  <c r="K371" i="41"/>
  <c r="K389" i="41" s="1"/>
  <c r="K367" i="41"/>
  <c r="K385" i="41" s="1"/>
  <c r="K406" i="41" s="1"/>
  <c r="K424" i="41" s="1"/>
  <c r="K54" i="41" s="1"/>
  <c r="K361" i="41"/>
  <c r="K360" i="41"/>
  <c r="K370" i="41"/>
  <c r="K388" i="41" s="1"/>
  <c r="K409" i="41" s="1"/>
  <c r="K427" i="41" s="1"/>
  <c r="K57" i="41" s="1"/>
  <c r="I333" i="41"/>
  <c r="I357" i="41" s="1"/>
  <c r="H334" i="41"/>
  <c r="H359" i="41" s="1"/>
  <c r="I347" i="41"/>
  <c r="M347" i="41"/>
  <c r="M410" i="41" s="1"/>
  <c r="M430" i="41" s="1"/>
  <c r="M58" i="41" s="1"/>
  <c r="H348" i="41"/>
  <c r="L348" i="41"/>
  <c r="L410" i="41" s="1"/>
  <c r="L430" i="41" s="1"/>
  <c r="L58" i="41" s="1"/>
  <c r="K364" i="41"/>
  <c r="K382" i="41" s="1"/>
  <c r="F323" i="41"/>
  <c r="I406" i="41"/>
  <c r="I424" i="41" s="1"/>
  <c r="M408" i="41"/>
  <c r="M426" i="41" s="1"/>
  <c r="L409" i="41"/>
  <c r="L427" i="41" s="1"/>
  <c r="L57" i="41" s="1"/>
  <c r="F350" i="41"/>
  <c r="G447" i="41"/>
  <c r="F352" i="41"/>
  <c r="F338" i="41"/>
  <c r="J403" i="41"/>
  <c r="J421" i="41" s="1"/>
  <c r="J53" i="41" s="1"/>
  <c r="N403" i="41"/>
  <c r="N421" i="41" s="1"/>
  <c r="N53" i="41" s="1"/>
  <c r="H317" i="41"/>
  <c r="F317" i="41" s="1"/>
  <c r="F351" i="41"/>
  <c r="L457" i="41"/>
  <c r="L327" i="41" s="1"/>
  <c r="L310" i="41"/>
  <c r="F337" i="41"/>
  <c r="F344" i="41"/>
  <c r="K408" i="41"/>
  <c r="K426" i="41" s="1"/>
  <c r="J409" i="41"/>
  <c r="J427" i="41" s="1"/>
  <c r="J57" i="41" s="1"/>
  <c r="H402" i="41"/>
  <c r="H420" i="41" s="1"/>
  <c r="H52" i="41" s="1"/>
  <c r="L402" i="41"/>
  <c r="L420" i="41" s="1"/>
  <c r="L52" i="41" s="1"/>
  <c r="K403" i="41"/>
  <c r="K421" i="41" s="1"/>
  <c r="K53" i="41" s="1"/>
  <c r="F342" i="41"/>
  <c r="I407" i="41"/>
  <c r="I425" i="41" s="1"/>
  <c r="H408" i="41"/>
  <c r="H426" i="41" s="1"/>
  <c r="F346" i="41"/>
  <c r="F428" i="41"/>
  <c r="H438" i="41"/>
  <c r="L438" i="41"/>
  <c r="N402" i="41"/>
  <c r="N420" i="41" s="1"/>
  <c r="N52" i="41" s="1"/>
  <c r="L406" i="41"/>
  <c r="L424" i="41" s="1"/>
  <c r="L54" i="41" s="1"/>
  <c r="N408" i="41"/>
  <c r="N426" i="41" s="1"/>
  <c r="H410" i="41"/>
  <c r="H430" i="41" s="1"/>
  <c r="H58" i="41" s="1"/>
  <c r="F460" i="41"/>
  <c r="J77" i="40"/>
  <c r="J80" i="40" s="1"/>
  <c r="J4" i="40" s="1"/>
  <c r="J63" i="40"/>
  <c r="H77" i="40"/>
  <c r="H80" i="40" s="1"/>
  <c r="H4" i="40" s="1"/>
  <c r="H63" i="40"/>
  <c r="L77" i="40"/>
  <c r="L80" i="40" s="1"/>
  <c r="L4" i="40" s="1"/>
  <c r="L63" i="40"/>
  <c r="N77" i="40"/>
  <c r="N80" i="40" s="1"/>
  <c r="N4" i="40" s="1"/>
  <c r="N63" i="40"/>
  <c r="N203" i="40"/>
  <c r="N435" i="40"/>
  <c r="N394" i="40"/>
  <c r="N331" i="40"/>
  <c r="N355" i="40"/>
  <c r="G300" i="40"/>
  <c r="G371" i="40"/>
  <c r="G367" i="40"/>
  <c r="G361" i="40"/>
  <c r="G370" i="40"/>
  <c r="G364" i="40"/>
  <c r="G360" i="40"/>
  <c r="G369" i="40"/>
  <c r="G363" i="40"/>
  <c r="G358" i="40"/>
  <c r="G368" i="40"/>
  <c r="G362" i="40"/>
  <c r="K27" i="40"/>
  <c r="F107" i="40"/>
  <c r="M160" i="40"/>
  <c r="M161" i="40" s="1"/>
  <c r="M182" i="40" s="1"/>
  <c r="G348" i="40"/>
  <c r="F132" i="40"/>
  <c r="K348" i="40"/>
  <c r="M158" i="40"/>
  <c r="M162" i="40" s="1"/>
  <c r="M183" i="40" s="1"/>
  <c r="G204" i="40"/>
  <c r="F148" i="40"/>
  <c r="G166" i="40"/>
  <c r="G187" i="40" s="1"/>
  <c r="G435" i="40"/>
  <c r="G394" i="40"/>
  <c r="G355" i="40"/>
  <c r="G331" i="40"/>
  <c r="K435" i="40"/>
  <c r="K394" i="40"/>
  <c r="K355" i="40"/>
  <c r="K331" i="40"/>
  <c r="H300" i="40"/>
  <c r="H66" i="40"/>
  <c r="H67" i="40" s="1"/>
  <c r="L300" i="40"/>
  <c r="L66" i="40"/>
  <c r="L67" i="40" s="1"/>
  <c r="H370" i="40"/>
  <c r="H388" i="40" s="1"/>
  <c r="H409" i="40" s="1"/>
  <c r="H427" i="40" s="1"/>
  <c r="H57" i="40" s="1"/>
  <c r="H364" i="40"/>
  <c r="H382" i="40" s="1"/>
  <c r="H360" i="40"/>
  <c r="H369" i="40"/>
  <c r="H387" i="40" s="1"/>
  <c r="H408" i="40" s="1"/>
  <c r="H426" i="40" s="1"/>
  <c r="H363" i="40"/>
  <c r="H381" i="40" s="1"/>
  <c r="H402" i="40" s="1"/>
  <c r="H420" i="40" s="1"/>
  <c r="H52" i="40" s="1"/>
  <c r="H368" i="40"/>
  <c r="H386" i="40" s="1"/>
  <c r="H407" i="40" s="1"/>
  <c r="H425" i="40" s="1"/>
  <c r="H362" i="40"/>
  <c r="H380" i="40" s="1"/>
  <c r="H367" i="40"/>
  <c r="H385" i="40" s="1"/>
  <c r="H406" i="40" s="1"/>
  <c r="H424" i="40" s="1"/>
  <c r="H54" i="40" s="1"/>
  <c r="H361" i="40"/>
  <c r="H371" i="40"/>
  <c r="H389" i="40" s="1"/>
  <c r="L370" i="40"/>
  <c r="L388" i="40" s="1"/>
  <c r="L409" i="40" s="1"/>
  <c r="L427" i="40" s="1"/>
  <c r="L57" i="40" s="1"/>
  <c r="L364" i="40"/>
  <c r="L382" i="40" s="1"/>
  <c r="L403" i="40" s="1"/>
  <c r="L421" i="40" s="1"/>
  <c r="L360" i="40"/>
  <c r="L369" i="40"/>
  <c r="L387" i="40" s="1"/>
  <c r="L363" i="40"/>
  <c r="L381" i="40" s="1"/>
  <c r="L402" i="40" s="1"/>
  <c r="L420" i="40" s="1"/>
  <c r="L52" i="40" s="1"/>
  <c r="L368" i="40"/>
  <c r="L386" i="40" s="1"/>
  <c r="L407" i="40" s="1"/>
  <c r="L425" i="40" s="1"/>
  <c r="L362" i="40"/>
  <c r="L380" i="40" s="1"/>
  <c r="L401" i="40" s="1"/>
  <c r="L361" i="40"/>
  <c r="L371" i="40"/>
  <c r="L389" i="40" s="1"/>
  <c r="L367" i="40"/>
  <c r="L385" i="40" s="1"/>
  <c r="K21" i="40"/>
  <c r="K15" i="40" s="1"/>
  <c r="K13" i="40" s="1"/>
  <c r="I26" i="40"/>
  <c r="I333" i="40" s="1"/>
  <c r="I358" i="40" s="1"/>
  <c r="M26" i="40"/>
  <c r="M333" i="40" s="1"/>
  <c r="I66" i="40"/>
  <c r="F101" i="40"/>
  <c r="J159" i="40"/>
  <c r="N159" i="40"/>
  <c r="H347" i="40"/>
  <c r="H194" i="40"/>
  <c r="H214" i="40" s="1"/>
  <c r="F131" i="40"/>
  <c r="L347" i="40"/>
  <c r="L194" i="40"/>
  <c r="L214" i="40" s="1"/>
  <c r="H164" i="40"/>
  <c r="H185" i="40" s="1"/>
  <c r="L164" i="40"/>
  <c r="L185" i="40" s="1"/>
  <c r="H166" i="40"/>
  <c r="H187" i="40" s="1"/>
  <c r="H205" i="40" s="1"/>
  <c r="L166" i="40"/>
  <c r="L187" i="40" s="1"/>
  <c r="L205" i="40" s="1"/>
  <c r="F190" i="40"/>
  <c r="G208" i="40"/>
  <c r="G170" i="40"/>
  <c r="G191" i="40" s="1"/>
  <c r="K170" i="40"/>
  <c r="K191" i="40" s="1"/>
  <c r="G210" i="40"/>
  <c r="K210" i="40"/>
  <c r="F154" i="40"/>
  <c r="G172" i="40"/>
  <c r="G193" i="40" s="1"/>
  <c r="K172" i="40"/>
  <c r="K193" i="40" s="1"/>
  <c r="K211" i="40" s="1"/>
  <c r="F173" i="40"/>
  <c r="H435" i="40"/>
  <c r="H394" i="40"/>
  <c r="H355" i="40"/>
  <c r="H331" i="40"/>
  <c r="L435" i="40"/>
  <c r="L394" i="40"/>
  <c r="L355" i="40"/>
  <c r="L331" i="40"/>
  <c r="I499" i="40"/>
  <c r="I491" i="40" s="1"/>
  <c r="I482" i="40"/>
  <c r="I473" i="40"/>
  <c r="M499" i="40"/>
  <c r="M491" i="40" s="1"/>
  <c r="M482" i="40"/>
  <c r="M473" i="40"/>
  <c r="I369" i="40"/>
  <c r="I387" i="40" s="1"/>
  <c r="I408" i="40" s="1"/>
  <c r="I426" i="40" s="1"/>
  <c r="I363" i="40"/>
  <c r="I381" i="40" s="1"/>
  <c r="I368" i="40"/>
  <c r="I386" i="40" s="1"/>
  <c r="I407" i="40" s="1"/>
  <c r="I425" i="40" s="1"/>
  <c r="I362" i="40"/>
  <c r="I380" i="40" s="1"/>
  <c r="I401" i="40" s="1"/>
  <c r="I371" i="40"/>
  <c r="I389" i="40" s="1"/>
  <c r="I367" i="40"/>
  <c r="I385" i="40" s="1"/>
  <c r="I406" i="40" s="1"/>
  <c r="I424" i="40" s="1"/>
  <c r="I54" i="40" s="1"/>
  <c r="I361" i="40"/>
  <c r="I370" i="40"/>
  <c r="I388" i="40" s="1"/>
  <c r="I409" i="40" s="1"/>
  <c r="I427" i="40" s="1"/>
  <c r="I57" i="40" s="1"/>
  <c r="I364" i="40"/>
  <c r="I382" i="40" s="1"/>
  <c r="I403" i="40" s="1"/>
  <c r="I421" i="40" s="1"/>
  <c r="I53" i="40" s="1"/>
  <c r="I360" i="40"/>
  <c r="M369" i="40"/>
  <c r="M387" i="40" s="1"/>
  <c r="M363" i="40"/>
  <c r="M381" i="40" s="1"/>
  <c r="M368" i="40"/>
  <c r="M386" i="40" s="1"/>
  <c r="M362" i="40"/>
  <c r="M380" i="40" s="1"/>
  <c r="M401" i="40" s="1"/>
  <c r="M371" i="40"/>
  <c r="M389" i="40" s="1"/>
  <c r="M367" i="40"/>
  <c r="M385" i="40" s="1"/>
  <c r="M406" i="40" s="1"/>
  <c r="M424" i="40" s="1"/>
  <c r="M54" i="40" s="1"/>
  <c r="M361" i="40"/>
  <c r="M370" i="40"/>
  <c r="M388" i="40" s="1"/>
  <c r="M409" i="40" s="1"/>
  <c r="M427" i="40" s="1"/>
  <c r="M364" i="40"/>
  <c r="M382" i="40" s="1"/>
  <c r="M403" i="40" s="1"/>
  <c r="M421" i="40" s="1"/>
  <c r="M53" i="40" s="1"/>
  <c r="M360" i="40"/>
  <c r="J26" i="40"/>
  <c r="J333" i="40" s="1"/>
  <c r="J357" i="40" s="1"/>
  <c r="N26" i="40"/>
  <c r="N333" i="40" s="1"/>
  <c r="M66" i="40"/>
  <c r="K158" i="40"/>
  <c r="K159" i="40" s="1"/>
  <c r="G143" i="40"/>
  <c r="F118" i="40"/>
  <c r="K334" i="40"/>
  <c r="K359" i="40" s="1"/>
  <c r="K143" i="40"/>
  <c r="I348" i="40"/>
  <c r="L161" i="40"/>
  <c r="L182" i="40" s="1"/>
  <c r="I203" i="40"/>
  <c r="M203" i="40"/>
  <c r="G194" i="40"/>
  <c r="J435" i="40"/>
  <c r="J331" i="40"/>
  <c r="J394" i="40"/>
  <c r="J355" i="40"/>
  <c r="K300" i="40"/>
  <c r="K66" i="40"/>
  <c r="K371" i="40"/>
  <c r="K389" i="40" s="1"/>
  <c r="K367" i="40"/>
  <c r="K385" i="40" s="1"/>
  <c r="K406" i="40" s="1"/>
  <c r="K424" i="40" s="1"/>
  <c r="K54" i="40" s="1"/>
  <c r="K361" i="40"/>
  <c r="K370" i="40"/>
  <c r="K388" i="40" s="1"/>
  <c r="K409" i="40" s="1"/>
  <c r="K427" i="40" s="1"/>
  <c r="K364" i="40"/>
  <c r="K382" i="40" s="1"/>
  <c r="K360" i="40"/>
  <c r="K369" i="40"/>
  <c r="K387" i="40" s="1"/>
  <c r="K408" i="40" s="1"/>
  <c r="K426" i="40" s="1"/>
  <c r="K363" i="40"/>
  <c r="K381" i="40" s="1"/>
  <c r="K402" i="40" s="1"/>
  <c r="K420" i="40" s="1"/>
  <c r="K52" i="40" s="1"/>
  <c r="K368" i="40"/>
  <c r="K386" i="40" s="1"/>
  <c r="K407" i="40" s="1"/>
  <c r="K425" i="40" s="1"/>
  <c r="K362" i="40"/>
  <c r="K380" i="40" s="1"/>
  <c r="K401" i="40" s="1"/>
  <c r="I435" i="40"/>
  <c r="I394" i="40"/>
  <c r="I331" i="40"/>
  <c r="I355" i="40"/>
  <c r="M394" i="40"/>
  <c r="M331" i="40"/>
  <c r="M435" i="40"/>
  <c r="J300" i="40"/>
  <c r="J66" i="40"/>
  <c r="J67" i="40" s="1"/>
  <c r="N300" i="40"/>
  <c r="N66" i="40"/>
  <c r="N67" i="40" s="1"/>
  <c r="J368" i="40"/>
  <c r="J386" i="40" s="1"/>
  <c r="J407" i="40" s="1"/>
  <c r="J425" i="40" s="1"/>
  <c r="J362" i="40"/>
  <c r="J380" i="40" s="1"/>
  <c r="J401" i="40" s="1"/>
  <c r="J371" i="40"/>
  <c r="J389" i="40" s="1"/>
  <c r="J367" i="40"/>
  <c r="J385" i="40" s="1"/>
  <c r="J406" i="40" s="1"/>
  <c r="J424" i="40" s="1"/>
  <c r="J54" i="40" s="1"/>
  <c r="J361" i="40"/>
  <c r="J370" i="40"/>
  <c r="J388" i="40" s="1"/>
  <c r="J409" i="40" s="1"/>
  <c r="J427" i="40" s="1"/>
  <c r="J57" i="40" s="1"/>
  <c r="J364" i="40"/>
  <c r="J382" i="40" s="1"/>
  <c r="J403" i="40" s="1"/>
  <c r="J421" i="40" s="1"/>
  <c r="J53" i="40" s="1"/>
  <c r="J360" i="40"/>
  <c r="J363" i="40"/>
  <c r="J381" i="40" s="1"/>
  <c r="J402" i="40" s="1"/>
  <c r="J420" i="40" s="1"/>
  <c r="J52" i="40" s="1"/>
  <c r="J369" i="40"/>
  <c r="J387" i="40" s="1"/>
  <c r="J408" i="40" s="1"/>
  <c r="J426" i="40" s="1"/>
  <c r="N368" i="40"/>
  <c r="N386" i="40" s="1"/>
  <c r="N407" i="40" s="1"/>
  <c r="N425" i="40" s="1"/>
  <c r="N362" i="40"/>
  <c r="N380" i="40" s="1"/>
  <c r="N401" i="40" s="1"/>
  <c r="N371" i="40"/>
  <c r="N389" i="40" s="1"/>
  <c r="N367" i="40"/>
  <c r="N385" i="40" s="1"/>
  <c r="N361" i="40"/>
  <c r="N370" i="40"/>
  <c r="N388" i="40" s="1"/>
  <c r="N364" i="40"/>
  <c r="N382" i="40" s="1"/>
  <c r="N403" i="40" s="1"/>
  <c r="N421" i="40" s="1"/>
  <c r="N360" i="40"/>
  <c r="N369" i="40"/>
  <c r="N387" i="40" s="1"/>
  <c r="N408" i="40" s="1"/>
  <c r="N426" i="40" s="1"/>
  <c r="I21" i="40"/>
  <c r="I15" i="40" s="1"/>
  <c r="I13" i="40" s="1"/>
  <c r="M21" i="40"/>
  <c r="M15" i="40" s="1"/>
  <c r="M13" i="40" s="1"/>
  <c r="H333" i="40"/>
  <c r="H358" i="40" s="1"/>
  <c r="H142" i="40"/>
  <c r="H141" i="40"/>
  <c r="F117" i="40"/>
  <c r="L333" i="40"/>
  <c r="L142" i="40"/>
  <c r="L141" i="40"/>
  <c r="I158" i="40"/>
  <c r="I162" i="40" s="1"/>
  <c r="I183" i="40" s="1"/>
  <c r="F144" i="40"/>
  <c r="J203" i="40"/>
  <c r="H171" i="40"/>
  <c r="H192" i="40" s="1"/>
  <c r="H210" i="40" s="1"/>
  <c r="H334" i="40"/>
  <c r="H359" i="40" s="1"/>
  <c r="L334" i="40"/>
  <c r="L359" i="40" s="1"/>
  <c r="I347" i="40"/>
  <c r="I410" i="40" s="1"/>
  <c r="I430" i="40" s="1"/>
  <c r="I194" i="40"/>
  <c r="I214" i="40" s="1"/>
  <c r="M347" i="40"/>
  <c r="M194" i="40"/>
  <c r="M214" i="40" s="1"/>
  <c r="H348" i="40"/>
  <c r="L348" i="40"/>
  <c r="G141" i="40"/>
  <c r="K141" i="40"/>
  <c r="F146" i="40"/>
  <c r="F152" i="40"/>
  <c r="F342" i="40"/>
  <c r="N409" i="40"/>
  <c r="N427" i="40" s="1"/>
  <c r="N57" i="40" s="1"/>
  <c r="J182" i="40"/>
  <c r="N182" i="40"/>
  <c r="I334" i="40"/>
  <c r="I359" i="40" s="1"/>
  <c r="M334" i="40"/>
  <c r="M359" i="40" s="1"/>
  <c r="J194" i="40"/>
  <c r="J214" i="40" s="1"/>
  <c r="J347" i="40"/>
  <c r="N347" i="40"/>
  <c r="N194" i="40"/>
  <c r="N214" i="40" s="1"/>
  <c r="M348" i="40"/>
  <c r="M410" i="40" s="1"/>
  <c r="M430" i="40" s="1"/>
  <c r="G142" i="40"/>
  <c r="K333" i="40"/>
  <c r="K357" i="40" s="1"/>
  <c r="J334" i="40"/>
  <c r="J359" i="40" s="1"/>
  <c r="N334" i="40"/>
  <c r="N359" i="40" s="1"/>
  <c r="G347" i="40"/>
  <c r="K347" i="40"/>
  <c r="J348" i="40"/>
  <c r="N348" i="40"/>
  <c r="I141" i="40"/>
  <c r="M141" i="40"/>
  <c r="F242" i="40"/>
  <c r="G242" i="40" s="1"/>
  <c r="G111" i="40" s="1"/>
  <c r="F111" i="40" s="1"/>
  <c r="H401" i="40"/>
  <c r="H403" i="40"/>
  <c r="H421" i="40" s="1"/>
  <c r="F339" i="40"/>
  <c r="F346" i="40"/>
  <c r="F315" i="40"/>
  <c r="I402" i="40"/>
  <c r="I420" i="40" s="1"/>
  <c r="M402" i="40"/>
  <c r="M420" i="40" s="1"/>
  <c r="M52" i="40" s="1"/>
  <c r="F345" i="40"/>
  <c r="F350" i="40"/>
  <c r="G311" i="40"/>
  <c r="F335" i="40"/>
  <c r="F336" i="40"/>
  <c r="M408" i="40"/>
  <c r="M426" i="40" s="1"/>
  <c r="F338" i="40"/>
  <c r="L406" i="40"/>
  <c r="L424" i="40" s="1"/>
  <c r="L54" i="40" s="1"/>
  <c r="F344" i="40"/>
  <c r="F352" i="40"/>
  <c r="F447" i="40"/>
  <c r="F457" i="40" s="1"/>
  <c r="G457" i="40" s="1"/>
  <c r="G327" i="40" s="1"/>
  <c r="F327" i="40" s="1"/>
  <c r="K403" i="40"/>
  <c r="K421" i="40" s="1"/>
  <c r="K53" i="40" s="1"/>
  <c r="N406" i="40"/>
  <c r="N424" i="40" s="1"/>
  <c r="N54" i="40" s="1"/>
  <c r="M407" i="40"/>
  <c r="M425" i="40" s="1"/>
  <c r="L408" i="40"/>
  <c r="L426" i="40" s="1"/>
  <c r="J410" i="40"/>
  <c r="J430" i="40" s="1"/>
  <c r="H5" i="8"/>
  <c r="H4" i="8"/>
  <c r="E459" i="39"/>
  <c r="E458" i="39"/>
  <c r="E457" i="39"/>
  <c r="E441" i="39"/>
  <c r="E444" i="39" s="1"/>
  <c r="E454" i="39" s="1"/>
  <c r="E440" i="39"/>
  <c r="E443" i="39" s="1"/>
  <c r="E453" i="39" s="1"/>
  <c r="N435" i="39"/>
  <c r="M435" i="39"/>
  <c r="L435" i="39"/>
  <c r="K435" i="39"/>
  <c r="J435" i="39"/>
  <c r="I435" i="39"/>
  <c r="H435" i="39"/>
  <c r="G435" i="39"/>
  <c r="E429" i="39"/>
  <c r="N427" i="39"/>
  <c r="M427" i="39"/>
  <c r="L427" i="39"/>
  <c r="K427" i="39"/>
  <c r="J427" i="39"/>
  <c r="I427" i="39"/>
  <c r="H427" i="39"/>
  <c r="G427" i="39"/>
  <c r="E426" i="39"/>
  <c r="E425" i="39"/>
  <c r="E424" i="39"/>
  <c r="E421" i="39"/>
  <c r="C421" i="39"/>
  <c r="E420" i="39"/>
  <c r="C420" i="39"/>
  <c r="E419" i="39"/>
  <c r="C419" i="39"/>
  <c r="C418" i="39"/>
  <c r="E417" i="39"/>
  <c r="C417" i="39"/>
  <c r="E416" i="39"/>
  <c r="C416" i="39"/>
  <c r="N389" i="39"/>
  <c r="M389" i="39"/>
  <c r="L389" i="39"/>
  <c r="K389" i="39"/>
  <c r="J389" i="39"/>
  <c r="I389" i="39"/>
  <c r="H389" i="39"/>
  <c r="G389" i="39"/>
  <c r="E384" i="39"/>
  <c r="D384" i="39"/>
  <c r="E383" i="39"/>
  <c r="D383" i="39"/>
  <c r="M383" i="39" s="1"/>
  <c r="E382" i="39"/>
  <c r="D382" i="39"/>
  <c r="N381" i="39"/>
  <c r="M381" i="39"/>
  <c r="L381" i="39"/>
  <c r="K381" i="39"/>
  <c r="J381" i="39"/>
  <c r="I381" i="39"/>
  <c r="H381" i="39"/>
  <c r="D376" i="39"/>
  <c r="D374" i="39"/>
  <c r="N366" i="39"/>
  <c r="E364" i="39"/>
  <c r="N358" i="39"/>
  <c r="M358" i="39"/>
  <c r="L358" i="39"/>
  <c r="K358" i="39"/>
  <c r="J358" i="39"/>
  <c r="I358" i="39"/>
  <c r="H358" i="39"/>
  <c r="G358" i="39"/>
  <c r="N353" i="39"/>
  <c r="M353" i="39"/>
  <c r="L353" i="39"/>
  <c r="K353" i="39"/>
  <c r="J353" i="39"/>
  <c r="I353" i="39"/>
  <c r="H353" i="39"/>
  <c r="G353" i="39"/>
  <c r="N349" i="39"/>
  <c r="M349" i="39"/>
  <c r="L349" i="39"/>
  <c r="K349" i="39"/>
  <c r="J349" i="39"/>
  <c r="I349" i="39"/>
  <c r="H349" i="39"/>
  <c r="G349" i="39"/>
  <c r="N348" i="39"/>
  <c r="N406" i="39" s="1"/>
  <c r="N426" i="39" s="1"/>
  <c r="M348" i="39"/>
  <c r="M406" i="39" s="1"/>
  <c r="M426" i="39" s="1"/>
  <c r="L348" i="39"/>
  <c r="L406" i="39" s="1"/>
  <c r="L426" i="39" s="1"/>
  <c r="K348" i="39"/>
  <c r="K406" i="39" s="1"/>
  <c r="K426" i="39" s="1"/>
  <c r="J348" i="39"/>
  <c r="J406" i="39" s="1"/>
  <c r="J426" i="39" s="1"/>
  <c r="I348" i="39"/>
  <c r="I406" i="39" s="1"/>
  <c r="I426" i="39" s="1"/>
  <c r="H348" i="39"/>
  <c r="H406" i="39" s="1"/>
  <c r="H426" i="39" s="1"/>
  <c r="G348" i="39"/>
  <c r="G406" i="39" s="1"/>
  <c r="N347" i="39"/>
  <c r="N405" i="39" s="1"/>
  <c r="N425" i="39" s="1"/>
  <c r="M347" i="39"/>
  <c r="M405" i="39" s="1"/>
  <c r="M425" i="39" s="1"/>
  <c r="L347" i="39"/>
  <c r="L405" i="39" s="1"/>
  <c r="L425" i="39" s="1"/>
  <c r="K347" i="39"/>
  <c r="K405" i="39" s="1"/>
  <c r="K425" i="39" s="1"/>
  <c r="J347" i="39"/>
  <c r="J405" i="39" s="1"/>
  <c r="J425" i="39" s="1"/>
  <c r="I347" i="39"/>
  <c r="I405" i="39" s="1"/>
  <c r="I425" i="39" s="1"/>
  <c r="H347" i="39"/>
  <c r="H405" i="39" s="1"/>
  <c r="H425" i="39" s="1"/>
  <c r="G347" i="39"/>
  <c r="G405" i="39" s="1"/>
  <c r="N346" i="39"/>
  <c r="N404" i="39" s="1"/>
  <c r="N424" i="39" s="1"/>
  <c r="M346" i="39"/>
  <c r="M404" i="39" s="1"/>
  <c r="M424" i="39" s="1"/>
  <c r="L346" i="39"/>
  <c r="L404" i="39" s="1"/>
  <c r="L424" i="39" s="1"/>
  <c r="K346" i="39"/>
  <c r="K404" i="39" s="1"/>
  <c r="K424" i="39" s="1"/>
  <c r="J346" i="39"/>
  <c r="J404" i="39" s="1"/>
  <c r="J424" i="39" s="1"/>
  <c r="J60" i="39" s="1"/>
  <c r="I346" i="39"/>
  <c r="I404" i="39" s="1"/>
  <c r="I424" i="39" s="1"/>
  <c r="H346" i="39"/>
  <c r="H404" i="39" s="1"/>
  <c r="H424" i="39" s="1"/>
  <c r="G346" i="39"/>
  <c r="F345" i="39"/>
  <c r="F344" i="39"/>
  <c r="N343" i="39"/>
  <c r="N401" i="39" s="1"/>
  <c r="M343" i="39"/>
  <c r="M401" i="39" s="1"/>
  <c r="L343" i="39"/>
  <c r="L401" i="39" s="1"/>
  <c r="L367" i="39" s="1"/>
  <c r="K343" i="39"/>
  <c r="K401" i="39" s="1"/>
  <c r="K421" i="39" s="1"/>
  <c r="J343" i="39"/>
  <c r="J401" i="39" s="1"/>
  <c r="I343" i="39"/>
  <c r="I401" i="39" s="1"/>
  <c r="I421" i="39" s="1"/>
  <c r="H343" i="39"/>
  <c r="H401" i="39" s="1"/>
  <c r="H421" i="39" s="1"/>
  <c r="G343" i="39"/>
  <c r="N342" i="39"/>
  <c r="N400" i="39" s="1"/>
  <c r="N420" i="39" s="1"/>
  <c r="M342" i="39"/>
  <c r="M400" i="39" s="1"/>
  <c r="M420" i="39" s="1"/>
  <c r="L342" i="39"/>
  <c r="L400" i="39" s="1"/>
  <c r="L420" i="39" s="1"/>
  <c r="K342" i="39"/>
  <c r="K400" i="39" s="1"/>
  <c r="J342" i="39"/>
  <c r="J400" i="39" s="1"/>
  <c r="J420" i="39" s="1"/>
  <c r="I342" i="39"/>
  <c r="I400" i="39" s="1"/>
  <c r="I420" i="39" s="1"/>
  <c r="H342" i="39"/>
  <c r="H400" i="39" s="1"/>
  <c r="H420" i="39" s="1"/>
  <c r="G342" i="39"/>
  <c r="N341" i="39"/>
  <c r="N399" i="39" s="1"/>
  <c r="N365" i="39" s="1"/>
  <c r="M341" i="39"/>
  <c r="M399" i="39" s="1"/>
  <c r="M419" i="39" s="1"/>
  <c r="L341" i="39"/>
  <c r="L399" i="39" s="1"/>
  <c r="K341" i="39"/>
  <c r="K399" i="39" s="1"/>
  <c r="J341" i="39"/>
  <c r="J399" i="39" s="1"/>
  <c r="J419" i="39" s="1"/>
  <c r="I341" i="39"/>
  <c r="I399" i="39" s="1"/>
  <c r="I419" i="39" s="1"/>
  <c r="H341" i="39"/>
  <c r="G341" i="39"/>
  <c r="N340" i="39"/>
  <c r="N398" i="39" s="1"/>
  <c r="N418" i="39" s="1"/>
  <c r="M340" i="39"/>
  <c r="M398" i="39" s="1"/>
  <c r="L340" i="39"/>
  <c r="L398" i="39" s="1"/>
  <c r="L418" i="39" s="1"/>
  <c r="K340" i="39"/>
  <c r="K398" i="39" s="1"/>
  <c r="K418" i="39" s="1"/>
  <c r="J340" i="39"/>
  <c r="J398" i="39" s="1"/>
  <c r="J418" i="39" s="1"/>
  <c r="I340" i="39"/>
  <c r="I398" i="39" s="1"/>
  <c r="H340" i="39"/>
  <c r="H398" i="39" s="1"/>
  <c r="G340" i="39"/>
  <c r="N339" i="39"/>
  <c r="N397" i="39" s="1"/>
  <c r="N417" i="39" s="1"/>
  <c r="M339" i="39"/>
  <c r="M397" i="39" s="1"/>
  <c r="M417" i="39" s="1"/>
  <c r="L339" i="39"/>
  <c r="L397" i="39" s="1"/>
  <c r="L417" i="39" s="1"/>
  <c r="K339" i="39"/>
  <c r="K397" i="39" s="1"/>
  <c r="K417" i="39" s="1"/>
  <c r="J339" i="39"/>
  <c r="J397" i="39" s="1"/>
  <c r="J417" i="39" s="1"/>
  <c r="I339" i="39"/>
  <c r="I397" i="39" s="1"/>
  <c r="I417" i="39" s="1"/>
  <c r="H339" i="39"/>
  <c r="H397" i="39" s="1"/>
  <c r="H417" i="39" s="1"/>
  <c r="G339" i="39"/>
  <c r="N332" i="39"/>
  <c r="M332" i="39"/>
  <c r="L332" i="39"/>
  <c r="K332" i="39"/>
  <c r="J332" i="39"/>
  <c r="I332" i="39"/>
  <c r="H332" i="39"/>
  <c r="G332" i="39"/>
  <c r="F316" i="39"/>
  <c r="F315" i="39"/>
  <c r="F314" i="39"/>
  <c r="F313" i="39"/>
  <c r="F312" i="39"/>
  <c r="N311" i="39"/>
  <c r="M311" i="39"/>
  <c r="L311" i="39"/>
  <c r="K311" i="39"/>
  <c r="J311" i="39"/>
  <c r="I311" i="39"/>
  <c r="H311" i="39"/>
  <c r="G311" i="39"/>
  <c r="N310" i="39"/>
  <c r="M310" i="39"/>
  <c r="L310" i="39"/>
  <c r="K310" i="39"/>
  <c r="J310" i="39"/>
  <c r="I310" i="39"/>
  <c r="H310" i="39"/>
  <c r="G310" i="39"/>
  <c r="N307" i="39"/>
  <c r="M307" i="39"/>
  <c r="L307" i="39"/>
  <c r="K307" i="39"/>
  <c r="J307" i="39"/>
  <c r="I307" i="39"/>
  <c r="H307" i="39"/>
  <c r="G307" i="39"/>
  <c r="N284" i="39"/>
  <c r="N276" i="39" s="1"/>
  <c r="M284" i="39"/>
  <c r="M276" i="39" s="1"/>
  <c r="L284" i="39"/>
  <c r="L276" i="39" s="1"/>
  <c r="K284" i="39"/>
  <c r="K276" i="39" s="1"/>
  <c r="J284" i="39"/>
  <c r="J276" i="39" s="1"/>
  <c r="I284" i="39"/>
  <c r="I276" i="39" s="1"/>
  <c r="H284" i="39"/>
  <c r="H276" i="39" s="1"/>
  <c r="G284" i="39"/>
  <c r="G276" i="39" s="1"/>
  <c r="N267" i="39"/>
  <c r="M267" i="39"/>
  <c r="L267" i="39"/>
  <c r="K267" i="39"/>
  <c r="J267" i="39"/>
  <c r="I267" i="39"/>
  <c r="H267" i="39"/>
  <c r="G267" i="39"/>
  <c r="N258" i="39"/>
  <c r="M258" i="39"/>
  <c r="L258" i="39"/>
  <c r="K258" i="39"/>
  <c r="J258" i="39"/>
  <c r="I258" i="39"/>
  <c r="H258" i="39"/>
  <c r="G258" i="39"/>
  <c r="E246" i="39"/>
  <c r="E245" i="39"/>
  <c r="E244" i="39"/>
  <c r="E228" i="39"/>
  <c r="E231" i="39" s="1"/>
  <c r="E241" i="39" s="1"/>
  <c r="E227" i="39"/>
  <c r="E230" i="39" s="1"/>
  <c r="E240" i="39" s="1"/>
  <c r="N222" i="39"/>
  <c r="M222" i="39"/>
  <c r="L222" i="39"/>
  <c r="K222" i="39"/>
  <c r="J222" i="39"/>
  <c r="I222" i="39"/>
  <c r="H222" i="39"/>
  <c r="G222" i="39"/>
  <c r="E216" i="39"/>
  <c r="F214" i="39"/>
  <c r="E213" i="39"/>
  <c r="E212" i="39"/>
  <c r="M211" i="39"/>
  <c r="L211" i="39"/>
  <c r="E211" i="39"/>
  <c r="E208" i="39"/>
  <c r="C208" i="39"/>
  <c r="E207" i="39"/>
  <c r="C207" i="39"/>
  <c r="I206" i="39"/>
  <c r="H206" i="39"/>
  <c r="E206" i="39"/>
  <c r="C206" i="39"/>
  <c r="C205" i="39"/>
  <c r="E204" i="39"/>
  <c r="C204" i="39"/>
  <c r="E203" i="39"/>
  <c r="C203" i="39"/>
  <c r="N199" i="39"/>
  <c r="M199" i="39"/>
  <c r="L199" i="39"/>
  <c r="K199" i="39"/>
  <c r="J199" i="39"/>
  <c r="I199" i="39"/>
  <c r="H199" i="39"/>
  <c r="N193" i="39"/>
  <c r="N213" i="39" s="1"/>
  <c r="M193" i="39"/>
  <c r="M213" i="39" s="1"/>
  <c r="L193" i="39"/>
  <c r="L213" i="39" s="1"/>
  <c r="K193" i="39"/>
  <c r="K213" i="39" s="1"/>
  <c r="J193" i="39"/>
  <c r="J213" i="39" s="1"/>
  <c r="I193" i="39"/>
  <c r="I213" i="39" s="1"/>
  <c r="H193" i="39"/>
  <c r="H213" i="39" s="1"/>
  <c r="G193" i="39"/>
  <c r="N192" i="39"/>
  <c r="N212" i="39" s="1"/>
  <c r="M192" i="39"/>
  <c r="M212" i="39" s="1"/>
  <c r="L192" i="39"/>
  <c r="L212" i="39" s="1"/>
  <c r="K192" i="39"/>
  <c r="K212" i="39" s="1"/>
  <c r="J192" i="39"/>
  <c r="J212" i="39" s="1"/>
  <c r="I192" i="39"/>
  <c r="I212" i="39" s="1"/>
  <c r="H192" i="39"/>
  <c r="H212" i="39" s="1"/>
  <c r="G192" i="39"/>
  <c r="N191" i="39"/>
  <c r="N211" i="39" s="1"/>
  <c r="M191" i="39"/>
  <c r="L191" i="39"/>
  <c r="K191" i="39"/>
  <c r="K211" i="39" s="1"/>
  <c r="J191" i="39"/>
  <c r="J211" i="39" s="1"/>
  <c r="I191" i="39"/>
  <c r="I211" i="39" s="1"/>
  <c r="H191" i="39"/>
  <c r="H211" i="39" s="1"/>
  <c r="G191" i="39"/>
  <c r="N188" i="39"/>
  <c r="N208" i="39" s="1"/>
  <c r="M188" i="39"/>
  <c r="M208" i="39" s="1"/>
  <c r="L188" i="39"/>
  <c r="L208" i="39" s="1"/>
  <c r="K188" i="39"/>
  <c r="K208" i="39" s="1"/>
  <c r="J188" i="39"/>
  <c r="J208" i="39" s="1"/>
  <c r="I188" i="39"/>
  <c r="I208" i="39" s="1"/>
  <c r="H188" i="39"/>
  <c r="H208" i="39" s="1"/>
  <c r="N187" i="39"/>
  <c r="N207" i="39" s="1"/>
  <c r="M187" i="39"/>
  <c r="M207" i="39" s="1"/>
  <c r="L187" i="39"/>
  <c r="L207" i="39" s="1"/>
  <c r="K187" i="39"/>
  <c r="K207" i="39" s="1"/>
  <c r="J187" i="39"/>
  <c r="J207" i="39" s="1"/>
  <c r="I187" i="39"/>
  <c r="I207" i="39" s="1"/>
  <c r="H187" i="39"/>
  <c r="H207" i="39" s="1"/>
  <c r="N186" i="39"/>
  <c r="N206" i="39" s="1"/>
  <c r="M186" i="39"/>
  <c r="M206" i="39" s="1"/>
  <c r="L186" i="39"/>
  <c r="L206" i="39" s="1"/>
  <c r="K186" i="39"/>
  <c r="K206" i="39" s="1"/>
  <c r="J186" i="39"/>
  <c r="J206" i="39" s="1"/>
  <c r="I186" i="39"/>
  <c r="I152" i="39" s="1"/>
  <c r="H186" i="39"/>
  <c r="H152" i="39" s="1"/>
  <c r="F186" i="39"/>
  <c r="N185" i="39"/>
  <c r="N205" i="39" s="1"/>
  <c r="M185" i="39"/>
  <c r="M205" i="39" s="1"/>
  <c r="L185" i="39"/>
  <c r="L205" i="39" s="1"/>
  <c r="K185" i="39"/>
  <c r="J185" i="39"/>
  <c r="J205" i="39" s="1"/>
  <c r="I185" i="39"/>
  <c r="I205" i="39" s="1"/>
  <c r="H185" i="39"/>
  <c r="H205" i="39" s="1"/>
  <c r="E185" i="39"/>
  <c r="E205" i="39" s="1"/>
  <c r="E398" i="39" s="1"/>
  <c r="E418" i="39" s="1"/>
  <c r="N184" i="39"/>
  <c r="N204" i="39" s="1"/>
  <c r="N19" i="39" s="1"/>
  <c r="M184" i="39"/>
  <c r="M204" i="39" s="1"/>
  <c r="L184" i="39"/>
  <c r="L204" i="39" s="1"/>
  <c r="L19" i="39" s="1"/>
  <c r="K184" i="39"/>
  <c r="K150" i="39" s="1"/>
  <c r="K164" i="39" s="1"/>
  <c r="J184" i="39"/>
  <c r="J150" i="39" s="1"/>
  <c r="J164" i="39" s="1"/>
  <c r="I184" i="39"/>
  <c r="I204" i="39" s="1"/>
  <c r="I19" i="39" s="1"/>
  <c r="H184" i="39"/>
  <c r="H204" i="39" s="1"/>
  <c r="H19" i="39" s="1"/>
  <c r="I180" i="39"/>
  <c r="I198" i="39" s="1"/>
  <c r="N176" i="39"/>
  <c r="M176" i="39"/>
  <c r="L176" i="39"/>
  <c r="K176" i="39"/>
  <c r="J176" i="39"/>
  <c r="I176" i="39"/>
  <c r="H176" i="39"/>
  <c r="G176" i="39"/>
  <c r="E171" i="39"/>
  <c r="D171" i="39"/>
  <c r="E170" i="39"/>
  <c r="N170" i="39" s="1"/>
  <c r="D170" i="39"/>
  <c r="E169" i="39"/>
  <c r="M169" i="39" s="1"/>
  <c r="D169" i="39"/>
  <c r="N168" i="39"/>
  <c r="M168" i="39"/>
  <c r="L168" i="39"/>
  <c r="K168" i="39"/>
  <c r="J168" i="39"/>
  <c r="I168" i="39"/>
  <c r="H168" i="39"/>
  <c r="N167" i="39"/>
  <c r="M167" i="39"/>
  <c r="L167" i="39"/>
  <c r="K167" i="39"/>
  <c r="J167" i="39"/>
  <c r="I167" i="39"/>
  <c r="H167" i="39"/>
  <c r="N166" i="39"/>
  <c r="M166" i="39"/>
  <c r="L166" i="39"/>
  <c r="K166" i="39"/>
  <c r="J166" i="39"/>
  <c r="I166" i="39"/>
  <c r="H166" i="39"/>
  <c r="N165" i="39"/>
  <c r="M165" i="39"/>
  <c r="L165" i="39"/>
  <c r="K165" i="39"/>
  <c r="J165" i="39"/>
  <c r="I165" i="39"/>
  <c r="H165" i="39"/>
  <c r="D163" i="39"/>
  <c r="N162" i="39"/>
  <c r="M162" i="39"/>
  <c r="L162" i="39"/>
  <c r="K162" i="39"/>
  <c r="J162" i="39"/>
  <c r="I162" i="39"/>
  <c r="H162" i="39"/>
  <c r="D161" i="39"/>
  <c r="N160" i="39"/>
  <c r="M160" i="39"/>
  <c r="L160" i="39"/>
  <c r="K160" i="39"/>
  <c r="J160" i="39"/>
  <c r="I160" i="39"/>
  <c r="H160" i="39"/>
  <c r="G160" i="39"/>
  <c r="M154" i="39"/>
  <c r="L154" i="39"/>
  <c r="I154" i="39"/>
  <c r="H154" i="39"/>
  <c r="J153" i="39"/>
  <c r="I153" i="39"/>
  <c r="H153" i="39"/>
  <c r="N152" i="39"/>
  <c r="M152" i="39"/>
  <c r="K152" i="39"/>
  <c r="J152" i="39"/>
  <c r="M151" i="39"/>
  <c r="J151" i="39"/>
  <c r="I151" i="39"/>
  <c r="N150" i="39"/>
  <c r="N164" i="39" s="1"/>
  <c r="I149" i="39"/>
  <c r="N145" i="39"/>
  <c r="M145" i="39"/>
  <c r="L145" i="39"/>
  <c r="K145" i="39"/>
  <c r="J145" i="39"/>
  <c r="I145" i="39"/>
  <c r="H145" i="39"/>
  <c r="G145" i="39"/>
  <c r="N142" i="39"/>
  <c r="M142" i="39"/>
  <c r="L142" i="39"/>
  <c r="L355" i="39" s="1"/>
  <c r="L447" i="39" s="1"/>
  <c r="K142" i="39"/>
  <c r="J142" i="39"/>
  <c r="I142" i="39"/>
  <c r="H142" i="39"/>
  <c r="H355" i="39" s="1"/>
  <c r="H447" i="39" s="1"/>
  <c r="G142" i="39"/>
  <c r="N141" i="39"/>
  <c r="N354" i="39" s="1"/>
  <c r="M141" i="39"/>
  <c r="M354" i="39" s="1"/>
  <c r="L141" i="39"/>
  <c r="L354" i="39" s="1"/>
  <c r="K141" i="39"/>
  <c r="K354" i="39" s="1"/>
  <c r="J141" i="39"/>
  <c r="J354" i="39" s="1"/>
  <c r="I141" i="39"/>
  <c r="I354" i="39" s="1"/>
  <c r="H141" i="39"/>
  <c r="H354" i="39" s="1"/>
  <c r="G141" i="39"/>
  <c r="F140" i="39"/>
  <c r="N139" i="39"/>
  <c r="N352" i="39" s="1"/>
  <c r="M139" i="39"/>
  <c r="L139" i="39"/>
  <c r="L352" i="39" s="1"/>
  <c r="K139" i="39"/>
  <c r="K352" i="39" s="1"/>
  <c r="J139" i="39"/>
  <c r="J352" i="39" s="1"/>
  <c r="I139" i="39"/>
  <c r="H139" i="39"/>
  <c r="H352" i="39" s="1"/>
  <c r="G139" i="39"/>
  <c r="G352" i="39" s="1"/>
  <c r="N138" i="39"/>
  <c r="M138" i="39"/>
  <c r="M351" i="39" s="1"/>
  <c r="L138" i="39"/>
  <c r="L351" i="39" s="1"/>
  <c r="K138" i="39"/>
  <c r="K351" i="39" s="1"/>
  <c r="J138" i="39"/>
  <c r="J157" i="39" s="1"/>
  <c r="J171" i="39" s="1"/>
  <c r="I138" i="39"/>
  <c r="I351" i="39" s="1"/>
  <c r="H138" i="39"/>
  <c r="H351" i="39" s="1"/>
  <c r="G138" i="39"/>
  <c r="G351" i="39" s="1"/>
  <c r="N137" i="39"/>
  <c r="M137" i="39"/>
  <c r="L137" i="39"/>
  <c r="K137" i="39"/>
  <c r="J137" i="39"/>
  <c r="I137" i="39"/>
  <c r="H137" i="39"/>
  <c r="G137" i="39"/>
  <c r="F136" i="39"/>
  <c r="F135" i="39"/>
  <c r="F134" i="39"/>
  <c r="F133" i="39"/>
  <c r="F132" i="39"/>
  <c r="F131" i="39"/>
  <c r="F130" i="39"/>
  <c r="F129" i="39"/>
  <c r="F128" i="39"/>
  <c r="F127" i="39"/>
  <c r="F126" i="39"/>
  <c r="N123" i="39"/>
  <c r="N181" i="39" s="1"/>
  <c r="M123" i="39"/>
  <c r="M181" i="39" s="1"/>
  <c r="L123" i="39"/>
  <c r="L181" i="39" s="1"/>
  <c r="K123" i="39"/>
  <c r="K181" i="39" s="1"/>
  <c r="J123" i="39"/>
  <c r="J181" i="39" s="1"/>
  <c r="I123" i="39"/>
  <c r="I181" i="39" s="1"/>
  <c r="H123" i="39"/>
  <c r="H181" i="39" s="1"/>
  <c r="G123" i="39"/>
  <c r="G181" i="39" s="1"/>
  <c r="N122" i="39"/>
  <c r="M122" i="39"/>
  <c r="M180" i="39" s="1"/>
  <c r="M198" i="39" s="1"/>
  <c r="L122" i="39"/>
  <c r="L180" i="39" s="1"/>
  <c r="L198" i="39" s="1"/>
  <c r="K122" i="39"/>
  <c r="K149" i="39" s="1"/>
  <c r="J122" i="39"/>
  <c r="I122" i="39"/>
  <c r="H122" i="39"/>
  <c r="H149" i="39" s="1"/>
  <c r="G122" i="39"/>
  <c r="N121" i="39"/>
  <c r="N179" i="39" s="1"/>
  <c r="M121" i="39"/>
  <c r="M179" i="39" s="1"/>
  <c r="L121" i="39"/>
  <c r="L148" i="39" s="1"/>
  <c r="K121" i="39"/>
  <c r="J121" i="39"/>
  <c r="J148" i="39" s="1"/>
  <c r="J161" i="39" s="1"/>
  <c r="I121" i="39"/>
  <c r="I148" i="39" s="1"/>
  <c r="H121" i="39"/>
  <c r="H148" i="39" s="1"/>
  <c r="G121" i="39"/>
  <c r="N119" i="39"/>
  <c r="M119" i="39"/>
  <c r="L119" i="39"/>
  <c r="K119" i="39"/>
  <c r="J119" i="39"/>
  <c r="I119" i="39"/>
  <c r="H119" i="39"/>
  <c r="G119" i="39"/>
  <c r="F103" i="39"/>
  <c r="F102" i="39"/>
  <c r="F101" i="39"/>
  <c r="F100" i="39"/>
  <c r="F99" i="39"/>
  <c r="F98" i="39"/>
  <c r="F97" i="39"/>
  <c r="F94" i="39"/>
  <c r="F62" i="39"/>
  <c r="D62" i="39"/>
  <c r="F61" i="39"/>
  <c r="D61" i="39"/>
  <c r="D60" i="39"/>
  <c r="N51" i="39"/>
  <c r="M51" i="39"/>
  <c r="L51" i="39"/>
  <c r="K51" i="39"/>
  <c r="J51" i="39"/>
  <c r="I51" i="39"/>
  <c r="H51" i="39"/>
  <c r="G51" i="39"/>
  <c r="F48" i="39"/>
  <c r="D48" i="39"/>
  <c r="D47" i="39"/>
  <c r="F43" i="39"/>
  <c r="C43" i="39"/>
  <c r="F42" i="39"/>
  <c r="C42" i="39"/>
  <c r="F41" i="39"/>
  <c r="C41" i="39"/>
  <c r="F40" i="39"/>
  <c r="C40" i="39"/>
  <c r="F39" i="39"/>
  <c r="C39" i="39"/>
  <c r="F38" i="39"/>
  <c r="C38" i="39"/>
  <c r="F37" i="39"/>
  <c r="C37" i="39"/>
  <c r="F36" i="39"/>
  <c r="C36" i="39"/>
  <c r="F35" i="39"/>
  <c r="C35" i="39"/>
  <c r="F34" i="39"/>
  <c r="C34" i="39"/>
  <c r="F33" i="39"/>
  <c r="C33" i="39"/>
  <c r="C32" i="39"/>
  <c r="F31" i="39"/>
  <c r="C31" i="39"/>
  <c r="F30" i="39"/>
  <c r="E30" i="39"/>
  <c r="C30" i="39"/>
  <c r="F29" i="39"/>
  <c r="E29" i="39"/>
  <c r="C29" i="39"/>
  <c r="F28" i="39"/>
  <c r="E28" i="39"/>
  <c r="C28" i="39"/>
  <c r="F27" i="39"/>
  <c r="E27" i="39"/>
  <c r="C27" i="39"/>
  <c r="N26" i="39"/>
  <c r="M26" i="39"/>
  <c r="L26" i="39"/>
  <c r="K26" i="39"/>
  <c r="J26" i="39"/>
  <c r="I26" i="39"/>
  <c r="H26" i="39"/>
  <c r="G26" i="39"/>
  <c r="E26" i="39"/>
  <c r="C26" i="39"/>
  <c r="C25" i="39"/>
  <c r="N24" i="39"/>
  <c r="M24" i="39"/>
  <c r="L24" i="39"/>
  <c r="K24" i="39"/>
  <c r="J24" i="39"/>
  <c r="I24" i="39"/>
  <c r="H24" i="39"/>
  <c r="G24" i="39"/>
  <c r="G336" i="39" s="1"/>
  <c r="C24" i="39"/>
  <c r="N23" i="39"/>
  <c r="M23" i="39"/>
  <c r="M335" i="39" s="1"/>
  <c r="L23" i="39"/>
  <c r="L335" i="39" s="1"/>
  <c r="K23" i="39"/>
  <c r="K335" i="39" s="1"/>
  <c r="J23" i="39"/>
  <c r="I23" i="39"/>
  <c r="I335" i="39" s="1"/>
  <c r="H23" i="39"/>
  <c r="H335" i="39" s="1"/>
  <c r="G23" i="39"/>
  <c r="C23" i="39"/>
  <c r="N22" i="39"/>
  <c r="M22" i="39"/>
  <c r="L22" i="39"/>
  <c r="K22" i="39"/>
  <c r="J22" i="39"/>
  <c r="I22" i="39"/>
  <c r="I334" i="39" s="1"/>
  <c r="H22" i="39"/>
  <c r="G22" i="39"/>
  <c r="C22" i="39"/>
  <c r="M19" i="39"/>
  <c r="F13" i="39"/>
  <c r="N12" i="39"/>
  <c r="N306" i="39" s="1"/>
  <c r="M12" i="39"/>
  <c r="M306" i="39" s="1"/>
  <c r="L12" i="39"/>
  <c r="L306" i="39" s="1"/>
  <c r="K12" i="39"/>
  <c r="K306" i="39" s="1"/>
  <c r="J12" i="39"/>
  <c r="J306" i="39" s="1"/>
  <c r="I12" i="39"/>
  <c r="I306" i="39" s="1"/>
  <c r="H12" i="39"/>
  <c r="H306" i="39" s="1"/>
  <c r="G12" i="39"/>
  <c r="G306" i="39" s="1"/>
  <c r="N11" i="39"/>
  <c r="N305" i="39" s="1"/>
  <c r="M11" i="39"/>
  <c r="M305" i="39" s="1"/>
  <c r="L11" i="39"/>
  <c r="L305" i="39" s="1"/>
  <c r="K11" i="39"/>
  <c r="K305" i="39" s="1"/>
  <c r="J11" i="39"/>
  <c r="J305" i="39" s="1"/>
  <c r="I11" i="39"/>
  <c r="I305" i="39" s="1"/>
  <c r="H11" i="39"/>
  <c r="H305" i="39" s="1"/>
  <c r="G11" i="39"/>
  <c r="G305" i="39" s="1"/>
  <c r="N10" i="39"/>
  <c r="N304" i="39" s="1"/>
  <c r="M10" i="39"/>
  <c r="M304" i="39" s="1"/>
  <c r="L10" i="39"/>
  <c r="L304" i="39" s="1"/>
  <c r="K10" i="39"/>
  <c r="K304" i="39" s="1"/>
  <c r="J10" i="39"/>
  <c r="J304" i="39" s="1"/>
  <c r="I10" i="39"/>
  <c r="I304" i="39" s="1"/>
  <c r="H10" i="39"/>
  <c r="H304" i="39" s="1"/>
  <c r="G10" i="39"/>
  <c r="G304" i="39" s="1"/>
  <c r="N9" i="39"/>
  <c r="N301" i="39" s="1"/>
  <c r="M9" i="39"/>
  <c r="M301" i="39" s="1"/>
  <c r="L9" i="39"/>
  <c r="L301" i="39" s="1"/>
  <c r="K9" i="39"/>
  <c r="K301" i="39" s="1"/>
  <c r="J9" i="39"/>
  <c r="J301" i="39" s="1"/>
  <c r="I9" i="39"/>
  <c r="I301" i="39" s="1"/>
  <c r="H9" i="39"/>
  <c r="H301" i="39" s="1"/>
  <c r="G9" i="39"/>
  <c r="G301" i="39" s="1"/>
  <c r="N8" i="39"/>
  <c r="M8" i="39"/>
  <c r="L8" i="39"/>
  <c r="L300" i="39" s="1"/>
  <c r="K8" i="39"/>
  <c r="J8" i="39"/>
  <c r="I8" i="39"/>
  <c r="H8" i="39"/>
  <c r="H300" i="39" s="1"/>
  <c r="G8" i="39"/>
  <c r="E320" i="38"/>
  <c r="E319" i="38"/>
  <c r="E318" i="38"/>
  <c r="H318" i="38" s="1"/>
  <c r="L296" i="38"/>
  <c r="K296" i="38"/>
  <c r="J296" i="38"/>
  <c r="I296" i="38"/>
  <c r="H296" i="38"/>
  <c r="G296" i="38"/>
  <c r="E290" i="38"/>
  <c r="L288" i="38"/>
  <c r="K288" i="38"/>
  <c r="J288" i="38"/>
  <c r="I288" i="38"/>
  <c r="H288" i="38"/>
  <c r="G288" i="38"/>
  <c r="E287" i="38"/>
  <c r="E286" i="38"/>
  <c r="E285" i="38"/>
  <c r="C282" i="38"/>
  <c r="C281" i="38"/>
  <c r="C280" i="38"/>
  <c r="C279" i="38"/>
  <c r="C278" i="38"/>
  <c r="C277" i="38"/>
  <c r="K264" i="38"/>
  <c r="K281" i="38" s="1"/>
  <c r="H264" i="38"/>
  <c r="H281" i="38" s="1"/>
  <c r="L255" i="38"/>
  <c r="K255" i="38"/>
  <c r="J255" i="38"/>
  <c r="I255" i="38"/>
  <c r="H255" i="38"/>
  <c r="G255" i="38"/>
  <c r="L252" i="38"/>
  <c r="L308" i="38" s="1"/>
  <c r="K252" i="38"/>
  <c r="K308" i="38" s="1"/>
  <c r="J252" i="38"/>
  <c r="J308" i="38" s="1"/>
  <c r="I252" i="38"/>
  <c r="I308" i="38" s="1"/>
  <c r="H252" i="38"/>
  <c r="H308" i="38" s="1"/>
  <c r="G252" i="38"/>
  <c r="F252" i="38" s="1"/>
  <c r="L251" i="38"/>
  <c r="K251" i="38"/>
  <c r="J251" i="38"/>
  <c r="I251" i="38"/>
  <c r="H251" i="38"/>
  <c r="G251" i="38"/>
  <c r="L250" i="38"/>
  <c r="K250" i="38"/>
  <c r="J250" i="38"/>
  <c r="I250" i="38"/>
  <c r="H250" i="38"/>
  <c r="G250" i="38"/>
  <c r="L249" i="38"/>
  <c r="K249" i="38"/>
  <c r="J249" i="38"/>
  <c r="I249" i="38"/>
  <c r="H249" i="38"/>
  <c r="G249" i="38"/>
  <c r="L248" i="38"/>
  <c r="K248" i="38"/>
  <c r="J248" i="38"/>
  <c r="I248" i="38"/>
  <c r="H248" i="38"/>
  <c r="G248" i="38"/>
  <c r="L247" i="38"/>
  <c r="K247" i="38"/>
  <c r="J247" i="38"/>
  <c r="I247" i="38"/>
  <c r="H247" i="38"/>
  <c r="G247" i="38"/>
  <c r="L246" i="38"/>
  <c r="K246" i="38"/>
  <c r="J246" i="38"/>
  <c r="I246" i="38"/>
  <c r="H246" i="38"/>
  <c r="G246" i="38"/>
  <c r="L245" i="38"/>
  <c r="L270" i="38" s="1"/>
  <c r="L287" i="38" s="1"/>
  <c r="K245" i="38"/>
  <c r="K270" i="38" s="1"/>
  <c r="K287" i="38" s="1"/>
  <c r="J245" i="38"/>
  <c r="J270" i="38" s="1"/>
  <c r="J287" i="38" s="1"/>
  <c r="I245" i="38"/>
  <c r="I270" i="38" s="1"/>
  <c r="I287" i="38" s="1"/>
  <c r="H245" i="38"/>
  <c r="H270" i="38" s="1"/>
  <c r="H287" i="38" s="1"/>
  <c r="G245" i="38"/>
  <c r="G270" i="38" s="1"/>
  <c r="L244" i="38"/>
  <c r="L269" i="38" s="1"/>
  <c r="L286" i="38" s="1"/>
  <c r="K244" i="38"/>
  <c r="K269" i="38" s="1"/>
  <c r="K286" i="38" s="1"/>
  <c r="J244" i="38"/>
  <c r="J269" i="38" s="1"/>
  <c r="J286" i="38" s="1"/>
  <c r="I244" i="38"/>
  <c r="I269" i="38" s="1"/>
  <c r="I286" i="38" s="1"/>
  <c r="H244" i="38"/>
  <c r="H269" i="38" s="1"/>
  <c r="H286" i="38" s="1"/>
  <c r="G244" i="38"/>
  <c r="L243" i="38"/>
  <c r="L268" i="38" s="1"/>
  <c r="L285" i="38" s="1"/>
  <c r="K243" i="38"/>
  <c r="K268" i="38" s="1"/>
  <c r="K285" i="38" s="1"/>
  <c r="J243" i="38"/>
  <c r="J268" i="38" s="1"/>
  <c r="J285" i="38" s="1"/>
  <c r="I243" i="38"/>
  <c r="I268" i="38" s="1"/>
  <c r="I285" i="38" s="1"/>
  <c r="H243" i="38"/>
  <c r="H268" i="38" s="1"/>
  <c r="H285" i="38" s="1"/>
  <c r="G243" i="38"/>
  <c r="G268" i="38" s="1"/>
  <c r="L242" i="38"/>
  <c r="K242" i="38"/>
  <c r="J242" i="38"/>
  <c r="I242" i="38"/>
  <c r="H242" i="38"/>
  <c r="G242" i="38"/>
  <c r="L241" i="38"/>
  <c r="K241" i="38"/>
  <c r="J241" i="38"/>
  <c r="I241" i="38"/>
  <c r="H241" i="38"/>
  <c r="G241" i="38"/>
  <c r="L240" i="38"/>
  <c r="L265" i="38" s="1"/>
  <c r="L282" i="38" s="1"/>
  <c r="K240" i="38"/>
  <c r="K265" i="38" s="1"/>
  <c r="K282" i="38" s="1"/>
  <c r="J240" i="38"/>
  <c r="J265" i="38" s="1"/>
  <c r="J282" i="38" s="1"/>
  <c r="I240" i="38"/>
  <c r="I265" i="38" s="1"/>
  <c r="I282" i="38" s="1"/>
  <c r="H240" i="38"/>
  <c r="H265" i="38" s="1"/>
  <c r="H282" i="38" s="1"/>
  <c r="G240" i="38"/>
  <c r="F240" i="38" s="1"/>
  <c r="L239" i="38"/>
  <c r="L264" i="38" s="1"/>
  <c r="L281" i="38" s="1"/>
  <c r="K239" i="38"/>
  <c r="J239" i="38"/>
  <c r="J264" i="38" s="1"/>
  <c r="J281" i="38" s="1"/>
  <c r="I239" i="38"/>
  <c r="I264" i="38" s="1"/>
  <c r="I281" i="38" s="1"/>
  <c r="H239" i="38"/>
  <c r="G239" i="38"/>
  <c r="L238" i="38"/>
  <c r="L263" i="38" s="1"/>
  <c r="L280" i="38" s="1"/>
  <c r="K238" i="38"/>
  <c r="K263" i="38" s="1"/>
  <c r="K280" i="38" s="1"/>
  <c r="J238" i="38"/>
  <c r="J263" i="38" s="1"/>
  <c r="J280" i="38" s="1"/>
  <c r="I238" i="38"/>
  <c r="I263" i="38" s="1"/>
  <c r="I280" i="38" s="1"/>
  <c r="H238" i="38"/>
  <c r="H263" i="38" s="1"/>
  <c r="H280" i="38" s="1"/>
  <c r="G238" i="38"/>
  <c r="L237" i="38"/>
  <c r="L262" i="38" s="1"/>
  <c r="L279" i="38" s="1"/>
  <c r="K237" i="38"/>
  <c r="K262" i="38" s="1"/>
  <c r="K279" i="38" s="1"/>
  <c r="J237" i="38"/>
  <c r="J262" i="38" s="1"/>
  <c r="J279" i="38" s="1"/>
  <c r="I237" i="38"/>
  <c r="I262" i="38" s="1"/>
  <c r="I279" i="38" s="1"/>
  <c r="H237" i="38"/>
  <c r="H262" i="38" s="1"/>
  <c r="H279" i="38" s="1"/>
  <c r="G237" i="38"/>
  <c r="L236" i="38"/>
  <c r="L261" i="38" s="1"/>
  <c r="L278" i="38" s="1"/>
  <c r="K236" i="38"/>
  <c r="K261" i="38" s="1"/>
  <c r="K278" i="38" s="1"/>
  <c r="J236" i="38"/>
  <c r="J261" i="38" s="1"/>
  <c r="J278" i="38" s="1"/>
  <c r="I236" i="38"/>
  <c r="I261" i="38" s="1"/>
  <c r="I278" i="38" s="1"/>
  <c r="H236" i="38"/>
  <c r="H261" i="38" s="1"/>
  <c r="H278" i="38" s="1"/>
  <c r="G236" i="38"/>
  <c r="L233" i="38"/>
  <c r="K233" i="38"/>
  <c r="K258" i="38" s="1"/>
  <c r="J233" i="38"/>
  <c r="J258" i="38" s="1"/>
  <c r="J273" i="38" s="1"/>
  <c r="I233" i="38"/>
  <c r="I258" i="38" s="1"/>
  <c r="H233" i="38"/>
  <c r="G233" i="38"/>
  <c r="G258" i="38" s="1"/>
  <c r="L231" i="38"/>
  <c r="K231" i="38"/>
  <c r="J231" i="38"/>
  <c r="I231" i="38"/>
  <c r="H231" i="38"/>
  <c r="G231" i="38"/>
  <c r="L215" i="38"/>
  <c r="K215" i="38"/>
  <c r="J215" i="38"/>
  <c r="I215" i="38"/>
  <c r="H215" i="38"/>
  <c r="G215" i="38"/>
  <c r="L214" i="38"/>
  <c r="L13" i="38" s="1"/>
  <c r="K214" i="38"/>
  <c r="K13" i="38" s="1"/>
  <c r="J214" i="38"/>
  <c r="I214" i="38"/>
  <c r="I13" i="38" s="1"/>
  <c r="H214" i="38"/>
  <c r="H13" i="38" s="1"/>
  <c r="G214" i="38"/>
  <c r="G13" i="38" s="1"/>
  <c r="L213" i="38"/>
  <c r="K213" i="38"/>
  <c r="J213" i="38"/>
  <c r="I213" i="38"/>
  <c r="H213" i="38"/>
  <c r="G213" i="38"/>
  <c r="E212" i="38"/>
  <c r="E302" i="38" s="1"/>
  <c r="E305" i="38" s="1"/>
  <c r="E315" i="38" s="1"/>
  <c r="E211" i="38"/>
  <c r="E301" i="38" s="1"/>
  <c r="E304" i="38" s="1"/>
  <c r="E314" i="38" s="1"/>
  <c r="L210" i="38"/>
  <c r="L340" i="38" s="1"/>
  <c r="L332" i="38" s="1"/>
  <c r="K210" i="38"/>
  <c r="K340" i="38" s="1"/>
  <c r="K332" i="38" s="1"/>
  <c r="J210" i="38"/>
  <c r="J340" i="38" s="1"/>
  <c r="J332" i="38" s="1"/>
  <c r="I210" i="38"/>
  <c r="I340" i="38" s="1"/>
  <c r="I332" i="38" s="1"/>
  <c r="H210" i="38"/>
  <c r="H340" i="38" s="1"/>
  <c r="H332" i="38" s="1"/>
  <c r="L195" i="38"/>
  <c r="L187" i="38" s="1"/>
  <c r="K195" i="38"/>
  <c r="K187" i="38" s="1"/>
  <c r="J195" i="38"/>
  <c r="J187" i="38" s="1"/>
  <c r="I195" i="38"/>
  <c r="I187" i="38" s="1"/>
  <c r="H195" i="38"/>
  <c r="H187" i="38" s="1"/>
  <c r="G195" i="38"/>
  <c r="G187" i="38"/>
  <c r="E175" i="38"/>
  <c r="E174" i="38"/>
  <c r="E173" i="38"/>
  <c r="L163" i="38"/>
  <c r="K163" i="38"/>
  <c r="J163" i="38"/>
  <c r="I163" i="38"/>
  <c r="H163" i="38"/>
  <c r="G163" i="38"/>
  <c r="E160" i="38"/>
  <c r="E170" i="38" s="1"/>
  <c r="E157" i="38"/>
  <c r="E156" i="38"/>
  <c r="E159" i="38" s="1"/>
  <c r="E169" i="38" s="1"/>
  <c r="E145" i="38"/>
  <c r="F143" i="38"/>
  <c r="E142" i="38"/>
  <c r="J141" i="38"/>
  <c r="E141" i="38"/>
  <c r="E140" i="38"/>
  <c r="E137" i="38"/>
  <c r="E265" i="38" s="1"/>
  <c r="E282" i="38" s="1"/>
  <c r="C137" i="38"/>
  <c r="L136" i="38"/>
  <c r="E136" i="38"/>
  <c r="E264" i="38" s="1"/>
  <c r="E281" i="38" s="1"/>
  <c r="C136" i="38"/>
  <c r="E135" i="38"/>
  <c r="E263" i="38" s="1"/>
  <c r="E280" i="38" s="1"/>
  <c r="C135" i="38"/>
  <c r="E134" i="38"/>
  <c r="E262" i="38" s="1"/>
  <c r="E279" i="38" s="1"/>
  <c r="E133" i="38"/>
  <c r="E261" i="38" s="1"/>
  <c r="E278" i="38" s="1"/>
  <c r="C133" i="38"/>
  <c r="E132" i="38"/>
  <c r="E260" i="38" s="1"/>
  <c r="E277" i="38" s="1"/>
  <c r="C132" i="38"/>
  <c r="L126" i="38"/>
  <c r="L145" i="38" s="1"/>
  <c r="K126" i="38"/>
  <c r="K145" i="38" s="1"/>
  <c r="J126" i="38"/>
  <c r="J145" i="38" s="1"/>
  <c r="I126" i="38"/>
  <c r="I145" i="38" s="1"/>
  <c r="H126" i="38"/>
  <c r="H145" i="38" s="1"/>
  <c r="G126" i="38"/>
  <c r="L125" i="38"/>
  <c r="L142" i="38" s="1"/>
  <c r="K125" i="38"/>
  <c r="K142" i="38" s="1"/>
  <c r="J125" i="38"/>
  <c r="J142" i="38" s="1"/>
  <c r="I125" i="38"/>
  <c r="I142" i="38" s="1"/>
  <c r="H125" i="38"/>
  <c r="H142" i="38" s="1"/>
  <c r="G125" i="38"/>
  <c r="L124" i="38"/>
  <c r="L141" i="38" s="1"/>
  <c r="K124" i="38"/>
  <c r="K141" i="38" s="1"/>
  <c r="J124" i="38"/>
  <c r="I124" i="38"/>
  <c r="I141" i="38" s="1"/>
  <c r="H124" i="38"/>
  <c r="H141" i="38" s="1"/>
  <c r="G124" i="38"/>
  <c r="L123" i="38"/>
  <c r="L140" i="38" s="1"/>
  <c r="K123" i="38"/>
  <c r="K140" i="38" s="1"/>
  <c r="J123" i="38"/>
  <c r="J140" i="38" s="1"/>
  <c r="I123" i="38"/>
  <c r="I140" i="38" s="1"/>
  <c r="H123" i="38"/>
  <c r="H140" i="38" s="1"/>
  <c r="G123" i="38"/>
  <c r="L120" i="38"/>
  <c r="L137" i="38" s="1"/>
  <c r="K120" i="38"/>
  <c r="K137" i="38" s="1"/>
  <c r="J120" i="38"/>
  <c r="J137" i="38" s="1"/>
  <c r="I120" i="38"/>
  <c r="I137" i="38" s="1"/>
  <c r="H120" i="38"/>
  <c r="H137" i="38" s="1"/>
  <c r="L119" i="38"/>
  <c r="K119" i="38"/>
  <c r="K136" i="38" s="1"/>
  <c r="J119" i="38"/>
  <c r="J136" i="38" s="1"/>
  <c r="I119" i="38"/>
  <c r="I136" i="38" s="1"/>
  <c r="H119" i="38"/>
  <c r="H136" i="38" s="1"/>
  <c r="L118" i="38"/>
  <c r="L135" i="38" s="1"/>
  <c r="K118" i="38"/>
  <c r="K135" i="38" s="1"/>
  <c r="J118" i="38"/>
  <c r="J135" i="38" s="1"/>
  <c r="I118" i="38"/>
  <c r="I135" i="38" s="1"/>
  <c r="H118" i="38"/>
  <c r="H135" i="38" s="1"/>
  <c r="L117" i="38"/>
  <c r="L134" i="38" s="1"/>
  <c r="K117" i="38"/>
  <c r="K134" i="38" s="1"/>
  <c r="J117" i="38"/>
  <c r="J134" i="38" s="1"/>
  <c r="I117" i="38"/>
  <c r="I134" i="38" s="1"/>
  <c r="H117" i="38"/>
  <c r="H134" i="38" s="1"/>
  <c r="C117" i="38"/>
  <c r="C134" i="38" s="1"/>
  <c r="L116" i="38"/>
  <c r="L133" i="38" s="1"/>
  <c r="K116" i="38"/>
  <c r="K133" i="38" s="1"/>
  <c r="J116" i="38"/>
  <c r="J133" i="38" s="1"/>
  <c r="I116" i="38"/>
  <c r="I133" i="38" s="1"/>
  <c r="H116" i="38"/>
  <c r="H133" i="38" s="1"/>
  <c r="L113" i="38"/>
  <c r="K113" i="38"/>
  <c r="K128" i="38" s="1"/>
  <c r="J113" i="38"/>
  <c r="J128" i="38" s="1"/>
  <c r="J129" i="38" s="1"/>
  <c r="I113" i="38"/>
  <c r="I128" i="38" s="1"/>
  <c r="H113" i="38"/>
  <c r="G113" i="38"/>
  <c r="G128" i="38" s="1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119" i="38" s="1"/>
  <c r="F93" i="38"/>
  <c r="F92" i="38"/>
  <c r="F117" i="38" s="1"/>
  <c r="F91" i="38"/>
  <c r="L90" i="38"/>
  <c r="L89" i="38" s="1"/>
  <c r="K90" i="38"/>
  <c r="K89" i="38" s="1"/>
  <c r="K112" i="38" s="1"/>
  <c r="J90" i="38"/>
  <c r="I90" i="38"/>
  <c r="H90" i="38"/>
  <c r="H89" i="38" s="1"/>
  <c r="G90" i="38"/>
  <c r="G89" i="38" s="1"/>
  <c r="G112" i="38" s="1"/>
  <c r="F88" i="38"/>
  <c r="H86" i="38"/>
  <c r="F70" i="38"/>
  <c r="F69" i="38"/>
  <c r="F68" i="38"/>
  <c r="L66" i="38"/>
  <c r="L151" i="38" s="1"/>
  <c r="K66" i="38"/>
  <c r="K86" i="38" s="1"/>
  <c r="J66" i="38"/>
  <c r="J86" i="38" s="1"/>
  <c r="I66" i="38"/>
  <c r="H66" i="38"/>
  <c r="H151" i="38" s="1"/>
  <c r="G66" i="38"/>
  <c r="G86" i="38" s="1"/>
  <c r="F63" i="38"/>
  <c r="K55" i="38"/>
  <c r="H55" i="38"/>
  <c r="G51" i="38"/>
  <c r="I48" i="38"/>
  <c r="H48" i="38"/>
  <c r="I45" i="38"/>
  <c r="F42" i="38"/>
  <c r="D42" i="38"/>
  <c r="F41" i="38"/>
  <c r="D41" i="38"/>
  <c r="D40" i="38"/>
  <c r="L35" i="38"/>
  <c r="L45" i="38" s="1"/>
  <c r="K35" i="38"/>
  <c r="K48" i="38" s="1"/>
  <c r="J35" i="38"/>
  <c r="I35" i="38"/>
  <c r="I55" i="38" s="1"/>
  <c r="H35" i="38"/>
  <c r="H45" i="38" s="1"/>
  <c r="G35" i="38"/>
  <c r="F34" i="38"/>
  <c r="C34" i="38"/>
  <c r="F33" i="38"/>
  <c r="C33" i="38"/>
  <c r="F32" i="38"/>
  <c r="C32" i="38"/>
  <c r="F31" i="38"/>
  <c r="C31" i="38"/>
  <c r="F30" i="38"/>
  <c r="C30" i="38"/>
  <c r="F29" i="38"/>
  <c r="F28" i="38"/>
  <c r="C28" i="38"/>
  <c r="F27" i="38"/>
  <c r="C27" i="38"/>
  <c r="F26" i="38"/>
  <c r="C26" i="38"/>
  <c r="F25" i="38"/>
  <c r="C25" i="38"/>
  <c r="F24" i="38"/>
  <c r="F23" i="38"/>
  <c r="C23" i="38"/>
  <c r="F22" i="38"/>
  <c r="E22" i="38"/>
  <c r="C22" i="38"/>
  <c r="F21" i="38"/>
  <c r="E21" i="38"/>
  <c r="C21" i="38"/>
  <c r="F20" i="38"/>
  <c r="E20" i="38"/>
  <c r="C20" i="38"/>
  <c r="F19" i="38"/>
  <c r="E19" i="38"/>
  <c r="C19" i="38"/>
  <c r="L18" i="38"/>
  <c r="K18" i="38"/>
  <c r="K17" i="38" s="1"/>
  <c r="J18" i="38"/>
  <c r="I18" i="38"/>
  <c r="H18" i="38"/>
  <c r="H17" i="38" s="1"/>
  <c r="G18" i="38"/>
  <c r="G17" i="38" s="1"/>
  <c r="E18" i="38"/>
  <c r="C18" i="38"/>
  <c r="C17" i="38"/>
  <c r="F16" i="38"/>
  <c r="C16" i="38"/>
  <c r="J13" i="38"/>
  <c r="F9" i="38"/>
  <c r="G8" i="38"/>
  <c r="G210" i="38" s="1"/>
  <c r="G340" i="38" s="1"/>
  <c r="G332" i="38" s="1"/>
  <c r="Q460" i="37"/>
  <c r="P460" i="37"/>
  <c r="O460" i="37"/>
  <c r="O438" i="37" s="1"/>
  <c r="N460" i="37"/>
  <c r="N438" i="37" s="1"/>
  <c r="M460" i="37"/>
  <c r="M328" i="37" s="1"/>
  <c r="I460" i="37"/>
  <c r="H460" i="37"/>
  <c r="G460" i="37"/>
  <c r="G438" i="37" s="1"/>
  <c r="E459" i="37"/>
  <c r="E458" i="37"/>
  <c r="E457" i="37"/>
  <c r="D457" i="37"/>
  <c r="C457" i="37"/>
  <c r="D454" i="37"/>
  <c r="D453" i="37"/>
  <c r="D452" i="37"/>
  <c r="C447" i="37"/>
  <c r="H438" i="37"/>
  <c r="E430" i="37"/>
  <c r="D430" i="37"/>
  <c r="F429" i="37"/>
  <c r="Q428" i="37"/>
  <c r="P428" i="37"/>
  <c r="O428" i="37"/>
  <c r="N428" i="37"/>
  <c r="N323" i="37" s="1"/>
  <c r="M428" i="37"/>
  <c r="M323" i="37" s="1"/>
  <c r="I428" i="37"/>
  <c r="H428" i="37"/>
  <c r="E427" i="37"/>
  <c r="D427" i="37"/>
  <c r="E426" i="37"/>
  <c r="D426" i="37"/>
  <c r="E425" i="37"/>
  <c r="D425" i="37"/>
  <c r="E424" i="37"/>
  <c r="D424" i="37"/>
  <c r="E421" i="37"/>
  <c r="D421" i="37"/>
  <c r="E420" i="37"/>
  <c r="D420" i="37"/>
  <c r="E419" i="37"/>
  <c r="D419" i="37"/>
  <c r="D418" i="37"/>
  <c r="D417" i="37"/>
  <c r="D416" i="37"/>
  <c r="D414" i="37"/>
  <c r="E389" i="37"/>
  <c r="D389" i="37"/>
  <c r="E388" i="37"/>
  <c r="D388" i="37"/>
  <c r="E387" i="37"/>
  <c r="D387" i="37"/>
  <c r="E386" i="37"/>
  <c r="D386" i="37"/>
  <c r="E385" i="37"/>
  <c r="D385" i="37"/>
  <c r="E382" i="37"/>
  <c r="D382" i="37"/>
  <c r="E381" i="37"/>
  <c r="D381" i="37"/>
  <c r="E380" i="37"/>
  <c r="D380" i="37"/>
  <c r="D377" i="37"/>
  <c r="D375" i="37"/>
  <c r="Q352" i="37"/>
  <c r="Q447" i="37" s="1"/>
  <c r="Q457" i="37" s="1"/>
  <c r="Q327" i="37" s="1"/>
  <c r="P352" i="37"/>
  <c r="P447" i="37" s="1"/>
  <c r="O352" i="37"/>
  <c r="O447" i="37" s="1"/>
  <c r="O457" i="37" s="1"/>
  <c r="O327" i="37" s="1"/>
  <c r="N352" i="37"/>
  <c r="N447" i="37" s="1"/>
  <c r="N457" i="37" s="1"/>
  <c r="N327" i="37" s="1"/>
  <c r="M352" i="37"/>
  <c r="M447" i="37" s="1"/>
  <c r="M457" i="37" s="1"/>
  <c r="I352" i="37"/>
  <c r="I447" i="37" s="1"/>
  <c r="H352" i="37"/>
  <c r="H447" i="37" s="1"/>
  <c r="H457" i="37" s="1"/>
  <c r="H327" i="37" s="1"/>
  <c r="G352" i="37"/>
  <c r="G447" i="37" s="1"/>
  <c r="Q351" i="37"/>
  <c r="P351" i="37"/>
  <c r="P317" i="37" s="1"/>
  <c r="O351" i="37"/>
  <c r="O317" i="37" s="1"/>
  <c r="N351" i="37"/>
  <c r="M351" i="37"/>
  <c r="M317" i="37" s="1"/>
  <c r="I351" i="37"/>
  <c r="H351" i="37"/>
  <c r="H317" i="37" s="1"/>
  <c r="Q350" i="37"/>
  <c r="Q311" i="37" s="1"/>
  <c r="P350" i="37"/>
  <c r="P311" i="37" s="1"/>
  <c r="O350" i="37"/>
  <c r="O311" i="37" s="1"/>
  <c r="N350" i="37"/>
  <c r="N311" i="37" s="1"/>
  <c r="M350" i="37"/>
  <c r="M311" i="37" s="1"/>
  <c r="I350" i="37"/>
  <c r="I311" i="37" s="1"/>
  <c r="H350" i="37"/>
  <c r="H311" i="37" s="1"/>
  <c r="Q349" i="37"/>
  <c r="P349" i="37"/>
  <c r="O349" i="37"/>
  <c r="N349" i="37"/>
  <c r="M349" i="37"/>
  <c r="I349" i="37"/>
  <c r="H349" i="37"/>
  <c r="G349" i="37"/>
  <c r="Q346" i="37"/>
  <c r="P346" i="37"/>
  <c r="O346" i="37"/>
  <c r="N346" i="37"/>
  <c r="M346" i="37"/>
  <c r="I346" i="37"/>
  <c r="H346" i="37"/>
  <c r="G346" i="37"/>
  <c r="Q345" i="37"/>
  <c r="P345" i="37"/>
  <c r="O345" i="37"/>
  <c r="N345" i="37"/>
  <c r="M345" i="37"/>
  <c r="I345" i="37"/>
  <c r="H345" i="37"/>
  <c r="G345" i="37"/>
  <c r="Q344" i="37"/>
  <c r="P344" i="37"/>
  <c r="O344" i="37"/>
  <c r="N344" i="37"/>
  <c r="M344" i="37"/>
  <c r="I344" i="37"/>
  <c r="H344" i="37"/>
  <c r="G344" i="37"/>
  <c r="Q343" i="37"/>
  <c r="P343" i="37"/>
  <c r="O343" i="37"/>
  <c r="N343" i="37"/>
  <c r="M343" i="37"/>
  <c r="I343" i="37"/>
  <c r="H343" i="37"/>
  <c r="G343" i="37"/>
  <c r="Q342" i="37"/>
  <c r="P342" i="37"/>
  <c r="O342" i="37"/>
  <c r="N342" i="37"/>
  <c r="M342" i="37"/>
  <c r="I342" i="37"/>
  <c r="H342" i="37"/>
  <c r="G342" i="37"/>
  <c r="Q341" i="37"/>
  <c r="P341" i="37"/>
  <c r="O341" i="37"/>
  <c r="N341" i="37"/>
  <c r="M341" i="37"/>
  <c r="I341" i="37"/>
  <c r="H341" i="37"/>
  <c r="G341" i="37"/>
  <c r="Q340" i="37"/>
  <c r="P340" i="37"/>
  <c r="O340" i="37"/>
  <c r="N340" i="37"/>
  <c r="M340" i="37"/>
  <c r="I340" i="37"/>
  <c r="H340" i="37"/>
  <c r="G340" i="37"/>
  <c r="Q339" i="37"/>
  <c r="P339" i="37"/>
  <c r="O339" i="37"/>
  <c r="N339" i="37"/>
  <c r="M339" i="37"/>
  <c r="I339" i="37"/>
  <c r="H339" i="37"/>
  <c r="G339" i="37"/>
  <c r="Q338" i="37"/>
  <c r="P338" i="37"/>
  <c r="O338" i="37"/>
  <c r="N338" i="37"/>
  <c r="M338" i="37"/>
  <c r="I338" i="37"/>
  <c r="H338" i="37"/>
  <c r="G338" i="37"/>
  <c r="Q337" i="37"/>
  <c r="P337" i="37"/>
  <c r="O337" i="37"/>
  <c r="N337" i="37"/>
  <c r="M337" i="37"/>
  <c r="I337" i="37"/>
  <c r="H337" i="37"/>
  <c r="G337" i="37"/>
  <c r="Q336" i="37"/>
  <c r="P336" i="37"/>
  <c r="O336" i="37"/>
  <c r="N336" i="37"/>
  <c r="M336" i="37"/>
  <c r="I336" i="37"/>
  <c r="H336" i="37"/>
  <c r="G336" i="37"/>
  <c r="Q335" i="37"/>
  <c r="P335" i="37"/>
  <c r="O335" i="37"/>
  <c r="N335" i="37"/>
  <c r="M335" i="37"/>
  <c r="I335" i="37"/>
  <c r="H335" i="37"/>
  <c r="G335" i="37"/>
  <c r="Q328" i="37"/>
  <c r="P328" i="37"/>
  <c r="O328" i="37"/>
  <c r="N328" i="37"/>
  <c r="I328" i="37"/>
  <c r="H328" i="37"/>
  <c r="M327" i="37"/>
  <c r="Q323" i="37"/>
  <c r="P323" i="37"/>
  <c r="O323" i="37"/>
  <c r="I323" i="37"/>
  <c r="H323" i="37"/>
  <c r="Q317" i="37"/>
  <c r="N317" i="37"/>
  <c r="Q316" i="37"/>
  <c r="P316" i="37"/>
  <c r="O316" i="37"/>
  <c r="N316" i="37"/>
  <c r="M316" i="37"/>
  <c r="I316" i="37"/>
  <c r="H316" i="37"/>
  <c r="G316" i="37"/>
  <c r="Q315" i="37"/>
  <c r="P315" i="37"/>
  <c r="O315" i="37"/>
  <c r="N315" i="37"/>
  <c r="M315" i="37"/>
  <c r="I315" i="37"/>
  <c r="H315" i="37"/>
  <c r="G315" i="37"/>
  <c r="Q314" i="37"/>
  <c r="P314" i="37"/>
  <c r="O314" i="37"/>
  <c r="N314" i="37"/>
  <c r="M314" i="37"/>
  <c r="I314" i="37"/>
  <c r="H314" i="37"/>
  <c r="M310" i="37"/>
  <c r="G310" i="37"/>
  <c r="Q308" i="37"/>
  <c r="P308" i="37"/>
  <c r="O308" i="37"/>
  <c r="N308" i="37"/>
  <c r="M308" i="37"/>
  <c r="I308" i="37"/>
  <c r="H308" i="37"/>
  <c r="E303" i="37"/>
  <c r="E441" i="37" s="1"/>
  <c r="E444" i="37" s="1"/>
  <c r="E454" i="37" s="1"/>
  <c r="E302" i="37"/>
  <c r="E440" i="37" s="1"/>
  <c r="Q301" i="37"/>
  <c r="P301" i="37"/>
  <c r="O301" i="37"/>
  <c r="N301" i="37"/>
  <c r="M301" i="37"/>
  <c r="I301" i="37"/>
  <c r="H301" i="37"/>
  <c r="G301" i="37"/>
  <c r="Q284" i="37"/>
  <c r="P284" i="37"/>
  <c r="O284" i="37"/>
  <c r="O276" i="37" s="1"/>
  <c r="N284" i="37"/>
  <c r="N276" i="37" s="1"/>
  <c r="M284" i="37"/>
  <c r="M276" i="37" s="1"/>
  <c r="I284" i="37"/>
  <c r="I276" i="37" s="1"/>
  <c r="H284" i="37"/>
  <c r="H276" i="37" s="1"/>
  <c r="G284" i="37"/>
  <c r="G276" i="37" s="1"/>
  <c r="Q276" i="37"/>
  <c r="P276" i="37"/>
  <c r="Q267" i="37"/>
  <c r="P267" i="37"/>
  <c r="O267" i="37"/>
  <c r="N267" i="37"/>
  <c r="M267" i="37"/>
  <c r="I267" i="37"/>
  <c r="H267" i="37"/>
  <c r="G267" i="37"/>
  <c r="Q258" i="37"/>
  <c r="P258" i="37"/>
  <c r="O258" i="37"/>
  <c r="N258" i="37"/>
  <c r="M258" i="37"/>
  <c r="I258" i="37"/>
  <c r="H258" i="37"/>
  <c r="G258" i="37"/>
  <c r="F245" i="37"/>
  <c r="E244" i="37"/>
  <c r="E243" i="37"/>
  <c r="E242" i="37"/>
  <c r="D242" i="37"/>
  <c r="C242" i="37"/>
  <c r="D239" i="37"/>
  <c r="D238" i="37"/>
  <c r="D237" i="37"/>
  <c r="Q232" i="37"/>
  <c r="Q242" i="37" s="1"/>
  <c r="Q111" i="37" s="1"/>
  <c r="P232" i="37"/>
  <c r="P242" i="37" s="1"/>
  <c r="P111" i="37" s="1"/>
  <c r="O232" i="37"/>
  <c r="O242" i="37" s="1"/>
  <c r="O111" i="37" s="1"/>
  <c r="N232" i="37"/>
  <c r="N242" i="37" s="1"/>
  <c r="N111" i="37" s="1"/>
  <c r="M232" i="37"/>
  <c r="M242" i="37" s="1"/>
  <c r="M111" i="37" s="1"/>
  <c r="I232" i="37"/>
  <c r="I242" i="37" s="1"/>
  <c r="H232" i="37"/>
  <c r="H242" i="37" s="1"/>
  <c r="G232" i="37"/>
  <c r="C232" i="37"/>
  <c r="E226" i="37"/>
  <c r="E229" i="37" s="1"/>
  <c r="E239" i="37" s="1"/>
  <c r="E225" i="37"/>
  <c r="Q223" i="37"/>
  <c r="P223" i="37"/>
  <c r="O223" i="37"/>
  <c r="N223" i="37"/>
  <c r="M223" i="37"/>
  <c r="I223" i="37"/>
  <c r="H223" i="37"/>
  <c r="G223" i="37"/>
  <c r="Q220" i="37"/>
  <c r="P220" i="37"/>
  <c r="O220" i="37"/>
  <c r="N220" i="37"/>
  <c r="M220" i="37"/>
  <c r="I220" i="37"/>
  <c r="H220" i="37"/>
  <c r="G220" i="37"/>
  <c r="E214" i="37"/>
  <c r="D214" i="37"/>
  <c r="F213" i="37"/>
  <c r="F212" i="37"/>
  <c r="E211" i="37"/>
  <c r="D211" i="37"/>
  <c r="E210" i="37"/>
  <c r="D210" i="37"/>
  <c r="E209" i="37"/>
  <c r="D209" i="37"/>
  <c r="E208" i="37"/>
  <c r="D208" i="37"/>
  <c r="E205" i="37"/>
  <c r="D205" i="37"/>
  <c r="E204" i="37"/>
  <c r="D204" i="37"/>
  <c r="E203" i="37"/>
  <c r="D203" i="37"/>
  <c r="D202" i="37"/>
  <c r="D201" i="37"/>
  <c r="D200" i="37"/>
  <c r="D198" i="37"/>
  <c r="Q178" i="37"/>
  <c r="P178" i="37"/>
  <c r="O178" i="37"/>
  <c r="N178" i="37"/>
  <c r="M178" i="37"/>
  <c r="I178" i="37"/>
  <c r="H178" i="37"/>
  <c r="G178" i="37"/>
  <c r="E173" i="37"/>
  <c r="J173" i="37" s="1"/>
  <c r="D173" i="37"/>
  <c r="E172" i="37"/>
  <c r="D172" i="37"/>
  <c r="E171" i="37"/>
  <c r="L171" i="37" s="1"/>
  <c r="L192" i="37" s="1"/>
  <c r="D171" i="37"/>
  <c r="E170" i="37"/>
  <c r="K170" i="37" s="1"/>
  <c r="K191" i="37" s="1"/>
  <c r="D170" i="37"/>
  <c r="E169" i="37"/>
  <c r="D169" i="37"/>
  <c r="E166" i="37"/>
  <c r="D166" i="37"/>
  <c r="E165" i="37"/>
  <c r="L165" i="37" s="1"/>
  <c r="L186" i="37" s="1"/>
  <c r="L204" i="37" s="1"/>
  <c r="D165" i="37"/>
  <c r="E164" i="37"/>
  <c r="K164" i="37" s="1"/>
  <c r="K185" i="37" s="1"/>
  <c r="D164" i="37"/>
  <c r="D161" i="37"/>
  <c r="D159" i="37"/>
  <c r="Q155" i="37"/>
  <c r="P155" i="37"/>
  <c r="O155" i="37"/>
  <c r="N155" i="37"/>
  <c r="M155" i="37"/>
  <c r="I155" i="37"/>
  <c r="H155" i="37"/>
  <c r="H173" i="37" s="1"/>
  <c r="G155" i="37"/>
  <c r="Q154" i="37"/>
  <c r="P154" i="37"/>
  <c r="O154" i="37"/>
  <c r="N154" i="37"/>
  <c r="M154" i="37"/>
  <c r="I154" i="37"/>
  <c r="H154" i="37"/>
  <c r="G154" i="37"/>
  <c r="Q153" i="37"/>
  <c r="P153" i="37"/>
  <c r="O153" i="37"/>
  <c r="O171" i="37" s="1"/>
  <c r="O192" i="37" s="1"/>
  <c r="N153" i="37"/>
  <c r="N171" i="37" s="1"/>
  <c r="N192" i="37" s="1"/>
  <c r="M153" i="37"/>
  <c r="M171" i="37" s="1"/>
  <c r="M192" i="37" s="1"/>
  <c r="I153" i="37"/>
  <c r="I171" i="37" s="1"/>
  <c r="I192" i="37" s="1"/>
  <c r="H153" i="37"/>
  <c r="H171" i="37" s="1"/>
  <c r="H192" i="37" s="1"/>
  <c r="G153" i="37"/>
  <c r="Q152" i="37"/>
  <c r="P152" i="37"/>
  <c r="O152" i="37"/>
  <c r="N152" i="37"/>
  <c r="M152" i="37"/>
  <c r="I152" i="37"/>
  <c r="H152" i="37"/>
  <c r="G152" i="37"/>
  <c r="Q151" i="37"/>
  <c r="P151" i="37"/>
  <c r="P169" i="37" s="1"/>
  <c r="P190" i="37" s="1"/>
  <c r="P208" i="37" s="1"/>
  <c r="O151" i="37"/>
  <c r="N151" i="37"/>
  <c r="M151" i="37"/>
  <c r="I151" i="37"/>
  <c r="H151" i="37"/>
  <c r="G151" i="37"/>
  <c r="G169" i="37" s="1"/>
  <c r="G190" i="37" s="1"/>
  <c r="Q148" i="37"/>
  <c r="P148" i="37"/>
  <c r="O148" i="37"/>
  <c r="N148" i="37"/>
  <c r="M148" i="37"/>
  <c r="I148" i="37"/>
  <c r="H148" i="37"/>
  <c r="G148" i="37"/>
  <c r="Q147" i="37"/>
  <c r="P147" i="37"/>
  <c r="O147" i="37"/>
  <c r="N147" i="37"/>
  <c r="M147" i="37"/>
  <c r="I147" i="37"/>
  <c r="H147" i="37"/>
  <c r="H165" i="37" s="1"/>
  <c r="H186" i="37" s="1"/>
  <c r="H204" i="37" s="1"/>
  <c r="G147" i="37"/>
  <c r="Q146" i="37"/>
  <c r="P146" i="37"/>
  <c r="O146" i="37"/>
  <c r="N146" i="37"/>
  <c r="M146" i="37"/>
  <c r="M164" i="37" s="1"/>
  <c r="M185" i="37" s="1"/>
  <c r="I146" i="37"/>
  <c r="H146" i="37"/>
  <c r="G146" i="37"/>
  <c r="Q145" i="37"/>
  <c r="P145" i="37"/>
  <c r="O145" i="37"/>
  <c r="N145" i="37"/>
  <c r="M145" i="37"/>
  <c r="I145" i="37"/>
  <c r="H145" i="37"/>
  <c r="G145" i="37"/>
  <c r="Q144" i="37"/>
  <c r="P144" i="37"/>
  <c r="O144" i="37"/>
  <c r="N144" i="37"/>
  <c r="M144" i="37"/>
  <c r="I144" i="37"/>
  <c r="H144" i="37"/>
  <c r="G144" i="37"/>
  <c r="Q139" i="37"/>
  <c r="P139" i="37"/>
  <c r="O139" i="37"/>
  <c r="N139" i="37"/>
  <c r="M139" i="37"/>
  <c r="I139" i="37"/>
  <c r="H139" i="37"/>
  <c r="G139" i="37"/>
  <c r="F136" i="37"/>
  <c r="F135" i="37"/>
  <c r="F134" i="37"/>
  <c r="F133" i="37"/>
  <c r="Q132" i="37"/>
  <c r="P132" i="37"/>
  <c r="O132" i="37"/>
  <c r="N132" i="37"/>
  <c r="M132" i="37"/>
  <c r="I132" i="37"/>
  <c r="H132" i="37"/>
  <c r="G132" i="37"/>
  <c r="Q131" i="37"/>
  <c r="P131" i="37"/>
  <c r="O131" i="37"/>
  <c r="N131" i="37"/>
  <c r="M131" i="37"/>
  <c r="I131" i="37"/>
  <c r="I194" i="37" s="1"/>
  <c r="H131" i="37"/>
  <c r="G131" i="37"/>
  <c r="F130" i="37"/>
  <c r="F129" i="37"/>
  <c r="F128" i="37"/>
  <c r="F127" i="37"/>
  <c r="F126" i="37"/>
  <c r="F123" i="37"/>
  <c r="F122" i="37"/>
  <c r="F121" i="37"/>
  <c r="F120" i="37"/>
  <c r="F119" i="37"/>
  <c r="Q118" i="37"/>
  <c r="P118" i="37"/>
  <c r="P143" i="37" s="1"/>
  <c r="O118" i="37"/>
  <c r="N118" i="37"/>
  <c r="N143" i="37" s="1"/>
  <c r="N160" i="37" s="1"/>
  <c r="M118" i="37"/>
  <c r="I118" i="37"/>
  <c r="I143" i="37" s="1"/>
  <c r="H118" i="37"/>
  <c r="G118" i="37"/>
  <c r="Q117" i="37"/>
  <c r="Q142" i="37" s="1"/>
  <c r="P117" i="37"/>
  <c r="P142" i="37" s="1"/>
  <c r="O117" i="37"/>
  <c r="O142" i="37" s="1"/>
  <c r="O158" i="37" s="1"/>
  <c r="N117" i="37"/>
  <c r="M117" i="37"/>
  <c r="M142" i="37" s="1"/>
  <c r="I117" i="37"/>
  <c r="I142" i="37" s="1"/>
  <c r="H117" i="37"/>
  <c r="H142" i="37" s="1"/>
  <c r="H158" i="37" s="1"/>
  <c r="G117" i="37"/>
  <c r="G333" i="37" s="1"/>
  <c r="Q115" i="37"/>
  <c r="P115" i="37"/>
  <c r="O115" i="37"/>
  <c r="N115" i="37"/>
  <c r="M115" i="37"/>
  <c r="I115" i="37"/>
  <c r="H115" i="37"/>
  <c r="G115" i="37"/>
  <c r="Q112" i="37"/>
  <c r="P112" i="37"/>
  <c r="O112" i="37"/>
  <c r="N112" i="37"/>
  <c r="M112" i="37"/>
  <c r="I112" i="37"/>
  <c r="H112" i="37"/>
  <c r="G112" i="37"/>
  <c r="I111" i="37"/>
  <c r="H111" i="37"/>
  <c r="Q107" i="37"/>
  <c r="P107" i="37"/>
  <c r="O107" i="37"/>
  <c r="N107" i="37"/>
  <c r="M107" i="37"/>
  <c r="I107" i="37"/>
  <c r="H107" i="37"/>
  <c r="G107" i="37"/>
  <c r="Q101" i="37"/>
  <c r="P101" i="37"/>
  <c r="O101" i="37"/>
  <c r="N101" i="37"/>
  <c r="M101" i="37"/>
  <c r="I101" i="37"/>
  <c r="H101" i="37"/>
  <c r="G101" i="37"/>
  <c r="F100" i="37"/>
  <c r="F99" i="37"/>
  <c r="F98" i="37"/>
  <c r="Q95" i="37"/>
  <c r="P95" i="37"/>
  <c r="O95" i="37"/>
  <c r="N95" i="37"/>
  <c r="M95" i="37"/>
  <c r="I95" i="37"/>
  <c r="H95" i="37"/>
  <c r="G95" i="37"/>
  <c r="Q94" i="37"/>
  <c r="H94" i="37"/>
  <c r="G94" i="37"/>
  <c r="F92" i="37"/>
  <c r="C83" i="37"/>
  <c r="F82" i="37"/>
  <c r="F298" i="37" s="1"/>
  <c r="F45" i="37"/>
  <c r="F42" i="37"/>
  <c r="Q41" i="37"/>
  <c r="P41" i="37"/>
  <c r="O41" i="37"/>
  <c r="N41" i="37"/>
  <c r="M41" i="37"/>
  <c r="I41" i="37"/>
  <c r="H41" i="37"/>
  <c r="G41" i="37"/>
  <c r="Q40" i="37"/>
  <c r="P40" i="37"/>
  <c r="O40" i="37"/>
  <c r="F40" i="37" s="1"/>
  <c r="N40" i="37"/>
  <c r="M40" i="37"/>
  <c r="I40" i="37"/>
  <c r="H40" i="37"/>
  <c r="G40" i="37"/>
  <c r="F39" i="37"/>
  <c r="F38" i="37"/>
  <c r="F37" i="37"/>
  <c r="F36" i="37"/>
  <c r="F35" i="37"/>
  <c r="F32" i="37"/>
  <c r="F31" i="37"/>
  <c r="F30" i="37"/>
  <c r="F29" i="37"/>
  <c r="F28" i="37"/>
  <c r="F24" i="37"/>
  <c r="F23" i="37"/>
  <c r="Q18" i="37"/>
  <c r="P18" i="37"/>
  <c r="O18" i="37"/>
  <c r="N18" i="37"/>
  <c r="M18" i="37"/>
  <c r="I18" i="37"/>
  <c r="H18" i="37"/>
  <c r="Q12" i="37"/>
  <c r="Q306" i="37" s="1"/>
  <c r="P12" i="37"/>
  <c r="P306" i="37" s="1"/>
  <c r="O12" i="37"/>
  <c r="O306" i="37" s="1"/>
  <c r="N12" i="37"/>
  <c r="N306" i="37" s="1"/>
  <c r="M12" i="37"/>
  <c r="M306" i="37" s="1"/>
  <c r="I12" i="37"/>
  <c r="I306" i="37" s="1"/>
  <c r="H12" i="37"/>
  <c r="H306" i="37" s="1"/>
  <c r="G12" i="37"/>
  <c r="G306" i="37" s="1"/>
  <c r="Q11" i="37"/>
  <c r="Q305" i="37" s="1"/>
  <c r="P11" i="37"/>
  <c r="P305" i="37" s="1"/>
  <c r="O11" i="37"/>
  <c r="O305" i="37" s="1"/>
  <c r="N11" i="37"/>
  <c r="N305" i="37" s="1"/>
  <c r="M11" i="37"/>
  <c r="M305" i="37" s="1"/>
  <c r="I11" i="37"/>
  <c r="I305" i="37" s="1"/>
  <c r="H11" i="37"/>
  <c r="H305" i="37" s="1"/>
  <c r="G11" i="37"/>
  <c r="G305" i="37" s="1"/>
  <c r="Q10" i="37"/>
  <c r="Q304" i="37" s="1"/>
  <c r="P10" i="37"/>
  <c r="P304" i="37" s="1"/>
  <c r="O10" i="37"/>
  <c r="O304" i="37" s="1"/>
  <c r="N10" i="37"/>
  <c r="N304" i="37" s="1"/>
  <c r="M10" i="37"/>
  <c r="M304" i="37" s="1"/>
  <c r="I10" i="37"/>
  <c r="I304" i="37" s="1"/>
  <c r="H10" i="37"/>
  <c r="H304" i="37" s="1"/>
  <c r="G10" i="37"/>
  <c r="G304" i="37" s="1"/>
  <c r="Q9" i="37"/>
  <c r="Q27" i="37" s="1"/>
  <c r="P9" i="37"/>
  <c r="P26" i="37" s="1"/>
  <c r="P333" i="37" s="1"/>
  <c r="O9" i="37"/>
  <c r="O27" i="37" s="1"/>
  <c r="N9" i="37"/>
  <c r="N27" i="37" s="1"/>
  <c r="M9" i="37"/>
  <c r="M27" i="37" s="1"/>
  <c r="I9" i="37"/>
  <c r="I26" i="37" s="1"/>
  <c r="H9" i="37"/>
  <c r="H27" i="37" s="1"/>
  <c r="G9" i="37"/>
  <c r="Q8" i="37"/>
  <c r="Q300" i="37" s="1"/>
  <c r="P8" i="37"/>
  <c r="P300" i="37" s="1"/>
  <c r="O8" i="37"/>
  <c r="O66" i="37" s="1"/>
  <c r="N8" i="37"/>
  <c r="N300" i="37" s="1"/>
  <c r="M8" i="37"/>
  <c r="M300" i="37" s="1"/>
  <c r="I8" i="37"/>
  <c r="I300" i="37" s="1"/>
  <c r="H8" i="37"/>
  <c r="H300" i="37" s="1"/>
  <c r="G8" i="37"/>
  <c r="G300" i="37" s="1"/>
  <c r="G499" i="37" s="1"/>
  <c r="G491" i="37" s="1"/>
  <c r="Q3" i="37"/>
  <c r="Q302" i="37" s="1"/>
  <c r="P3" i="37"/>
  <c r="P302" i="37" s="1"/>
  <c r="O3" i="37"/>
  <c r="O302" i="37" s="1"/>
  <c r="O355" i="37" s="1"/>
  <c r="N302" i="37"/>
  <c r="M302" i="37"/>
  <c r="M435" i="37" s="1"/>
  <c r="I302" i="37"/>
  <c r="H302" i="37"/>
  <c r="G302" i="37"/>
  <c r="M358" i="40" l="1"/>
  <c r="M357" i="40"/>
  <c r="F192" i="39"/>
  <c r="F212" i="39" s="1"/>
  <c r="F251" i="38"/>
  <c r="H161" i="39"/>
  <c r="J154" i="39"/>
  <c r="J179" i="39"/>
  <c r="F310" i="39"/>
  <c r="K382" i="39"/>
  <c r="Q166" i="37"/>
  <c r="Q187" i="37" s="1"/>
  <c r="N94" i="37"/>
  <c r="O94" i="37"/>
  <c r="J169" i="37"/>
  <c r="J190" i="37" s="1"/>
  <c r="J208" i="37" s="1"/>
  <c r="K154" i="39"/>
  <c r="I169" i="37"/>
  <c r="I190" i="37" s="1"/>
  <c r="I210" i="37"/>
  <c r="F342" i="39"/>
  <c r="F400" i="39" s="1"/>
  <c r="G400" i="39" s="1"/>
  <c r="G366" i="39" s="1"/>
  <c r="K209" i="37"/>
  <c r="N169" i="37"/>
  <c r="N190" i="37" s="1"/>
  <c r="L86" i="38"/>
  <c r="L318" i="38"/>
  <c r="F142" i="39"/>
  <c r="L152" i="39"/>
  <c r="N154" i="39"/>
  <c r="F406" i="39"/>
  <c r="F426" i="39" s="1"/>
  <c r="G426" i="39" s="1"/>
  <c r="O210" i="37"/>
  <c r="I173" i="38"/>
  <c r="H271" i="38"/>
  <c r="H290" i="38" s="1"/>
  <c r="M57" i="40"/>
  <c r="H54" i="41"/>
  <c r="K410" i="37"/>
  <c r="K430" i="37" s="1"/>
  <c r="O162" i="37"/>
  <c r="O183" i="37" s="1"/>
  <c r="F132" i="37"/>
  <c r="Q165" i="37"/>
  <c r="Q186" i="37" s="1"/>
  <c r="Q204" i="37" s="1"/>
  <c r="Q173" i="37"/>
  <c r="L214" i="37"/>
  <c r="J334" i="39"/>
  <c r="F122" i="39"/>
  <c r="L194" i="39"/>
  <c r="L216" i="39" s="1"/>
  <c r="G149" i="39"/>
  <c r="H410" i="40"/>
  <c r="H430" i="40" s="1"/>
  <c r="H58" i="40" s="1"/>
  <c r="L53" i="40"/>
  <c r="M52" i="41"/>
  <c r="I57" i="41"/>
  <c r="G166" i="37"/>
  <c r="G187" i="37" s="1"/>
  <c r="L55" i="38"/>
  <c r="I163" i="39"/>
  <c r="J106" i="41"/>
  <c r="H166" i="37"/>
  <c r="H187" i="37" s="1"/>
  <c r="F247" i="38"/>
  <c r="L334" i="39"/>
  <c r="M149" i="39"/>
  <c r="M163" i="39" s="1"/>
  <c r="I54" i="41"/>
  <c r="J410" i="41"/>
  <c r="J430" i="41" s="1"/>
  <c r="J58" i="41" s="1"/>
  <c r="N148" i="39"/>
  <c r="N161" i="39" s="1"/>
  <c r="F346" i="37"/>
  <c r="K318" i="38"/>
  <c r="F138" i="39"/>
  <c r="I150" i="39"/>
  <c r="I164" i="39" s="1"/>
  <c r="K153" i="39"/>
  <c r="F339" i="39"/>
  <c r="F363" i="39" s="1"/>
  <c r="F343" i="39"/>
  <c r="N53" i="40"/>
  <c r="M77" i="41"/>
  <c r="M80" i="41" s="1"/>
  <c r="M4" i="41" s="1"/>
  <c r="K166" i="37"/>
  <c r="K187" i="37" s="1"/>
  <c r="K205" i="37" s="1"/>
  <c r="M166" i="37"/>
  <c r="M187" i="37" s="1"/>
  <c r="K203" i="37"/>
  <c r="F316" i="37"/>
  <c r="F125" i="38"/>
  <c r="F142" i="38" s="1"/>
  <c r="G142" i="38" s="1"/>
  <c r="L336" i="39"/>
  <c r="L394" i="39" s="1"/>
  <c r="K163" i="39"/>
  <c r="M150" i="39"/>
  <c r="M164" i="39" s="1"/>
  <c r="L153" i="39"/>
  <c r="N60" i="39"/>
  <c r="O21" i="37"/>
  <c r="O15" i="37" s="1"/>
  <c r="O13" i="37" s="1"/>
  <c r="O67" i="37" s="1"/>
  <c r="N166" i="37"/>
  <c r="N187" i="37" s="1"/>
  <c r="F213" i="38"/>
  <c r="M153" i="39"/>
  <c r="K57" i="40"/>
  <c r="O166" i="37"/>
  <c r="O187" i="37" s="1"/>
  <c r="K110" i="38"/>
  <c r="N153" i="39"/>
  <c r="F208" i="40"/>
  <c r="K410" i="41"/>
  <c r="K430" i="41" s="1"/>
  <c r="H418" i="39"/>
  <c r="H364" i="39"/>
  <c r="M421" i="39"/>
  <c r="M367" i="39"/>
  <c r="K60" i="39"/>
  <c r="J40" i="38"/>
  <c r="I60" i="39"/>
  <c r="N164" i="37"/>
  <c r="N185" i="37" s="1"/>
  <c r="N208" i="37"/>
  <c r="G328" i="37"/>
  <c r="F328" i="37" s="1"/>
  <c r="L17" i="38"/>
  <c r="L234" i="38" s="1"/>
  <c r="G335" i="39"/>
  <c r="J336" i="39"/>
  <c r="J394" i="39" s="1"/>
  <c r="L161" i="39"/>
  <c r="H170" i="39"/>
  <c r="H57" i="41"/>
  <c r="J214" i="37"/>
  <c r="J385" i="37"/>
  <c r="J406" i="37" s="1"/>
  <c r="J424" i="37" s="1"/>
  <c r="J164" i="37"/>
  <c r="J185" i="37" s="1"/>
  <c r="J203" i="37" s="1"/>
  <c r="K214" i="37"/>
  <c r="I214" i="37"/>
  <c r="O164" i="37"/>
  <c r="O185" i="37" s="1"/>
  <c r="H205" i="37"/>
  <c r="H210" i="37"/>
  <c r="L210" i="37"/>
  <c r="L48" i="38"/>
  <c r="F123" i="38"/>
  <c r="F140" i="38" s="1"/>
  <c r="G140" i="38" s="1"/>
  <c r="F214" i="38"/>
  <c r="F236" i="38"/>
  <c r="K336" i="39"/>
  <c r="K394" i="39" s="1"/>
  <c r="H151" i="39"/>
  <c r="L170" i="39"/>
  <c r="F307" i="39"/>
  <c r="L364" i="39"/>
  <c r="M58" i="40"/>
  <c r="J430" i="37"/>
  <c r="H60" i="39"/>
  <c r="J165" i="37"/>
  <c r="J186" i="37" s="1"/>
  <c r="J204" i="37" s="1"/>
  <c r="Q164" i="37"/>
  <c r="Q185" i="37" s="1"/>
  <c r="M205" i="37"/>
  <c r="M210" i="37"/>
  <c r="J172" i="37"/>
  <c r="J193" i="37" s="1"/>
  <c r="J211" i="37" s="1"/>
  <c r="F18" i="38"/>
  <c r="G117" i="38"/>
  <c r="F163" i="38"/>
  <c r="F246" i="38"/>
  <c r="L271" i="38"/>
  <c r="L290" i="38" s="1"/>
  <c r="H382" i="39"/>
  <c r="F427" i="39"/>
  <c r="N410" i="40"/>
  <c r="N430" i="40" s="1"/>
  <c r="N58" i="40" s="1"/>
  <c r="J382" i="37"/>
  <c r="J403" i="37" s="1"/>
  <c r="J421" i="37" s="1"/>
  <c r="L382" i="37"/>
  <c r="L403" i="37" s="1"/>
  <c r="L421" i="37" s="1"/>
  <c r="K173" i="37"/>
  <c r="L164" i="37"/>
  <c r="L185" i="37" s="1"/>
  <c r="L203" i="37" s="1"/>
  <c r="N205" i="37"/>
  <c r="N210" i="37"/>
  <c r="G173" i="37"/>
  <c r="F342" i="37"/>
  <c r="F345" i="37"/>
  <c r="H40" i="38"/>
  <c r="F250" i="38"/>
  <c r="N336" i="39"/>
  <c r="N394" i="39" s="1"/>
  <c r="H54" i="39"/>
  <c r="L151" i="39"/>
  <c r="F191" i="39"/>
  <c r="L382" i="39"/>
  <c r="N419" i="39"/>
  <c r="K165" i="37"/>
  <c r="K186" i="37" s="1"/>
  <c r="K204" i="37" s="1"/>
  <c r="J166" i="37"/>
  <c r="J187" i="37" s="1"/>
  <c r="J205" i="37" s="1"/>
  <c r="F107" i="37"/>
  <c r="P194" i="37"/>
  <c r="P214" i="37" s="1"/>
  <c r="O205" i="37"/>
  <c r="F336" i="37"/>
  <c r="J204" i="39"/>
  <c r="J19" i="39" s="1"/>
  <c r="F347" i="39"/>
  <c r="I52" i="40"/>
  <c r="F186" i="40"/>
  <c r="K161" i="37"/>
  <c r="K182" i="37" s="1"/>
  <c r="K199" i="37" s="1"/>
  <c r="K200" i="37" s="1"/>
  <c r="L381" i="37"/>
  <c r="L402" i="37" s="1"/>
  <c r="L420" i="37" s="1"/>
  <c r="L52" i="37" s="1"/>
  <c r="K382" i="37"/>
  <c r="K403" i="37" s="1"/>
  <c r="K421" i="37" s="1"/>
  <c r="K53" i="37" s="1"/>
  <c r="L166" i="37"/>
  <c r="L187" i="37" s="1"/>
  <c r="L205" i="37" s="1"/>
  <c r="I165" i="37"/>
  <c r="I186" i="37" s="1"/>
  <c r="I204" i="37" s="1"/>
  <c r="P171" i="37"/>
  <c r="P192" i="37" s="1"/>
  <c r="P210" i="37" s="1"/>
  <c r="I173" i="37"/>
  <c r="N310" i="37"/>
  <c r="F315" i="37"/>
  <c r="J271" i="38"/>
  <c r="J290" i="38" s="1"/>
  <c r="J274" i="38"/>
  <c r="K125" i="39"/>
  <c r="K338" i="39" s="1"/>
  <c r="H150" i="39"/>
  <c r="H164" i="39" s="1"/>
  <c r="N151" i="39"/>
  <c r="G169" i="39"/>
  <c r="G186" i="39"/>
  <c r="G152" i="39" s="1"/>
  <c r="L60" i="39"/>
  <c r="K204" i="39"/>
  <c r="K19" i="39" s="1"/>
  <c r="M60" i="39"/>
  <c r="F311" i="39"/>
  <c r="F405" i="39"/>
  <c r="F425" i="39" s="1"/>
  <c r="G425" i="39" s="1"/>
  <c r="M106" i="40"/>
  <c r="F204" i="40"/>
  <c r="F348" i="41"/>
  <c r="M165" i="37"/>
  <c r="M186" i="37" s="1"/>
  <c r="M204" i="37" s="1"/>
  <c r="Q205" i="37"/>
  <c r="Q171" i="37"/>
  <c r="Q192" i="37" s="1"/>
  <c r="Q210" i="37" s="1"/>
  <c r="M173" i="37"/>
  <c r="Q310" i="37"/>
  <c r="F233" i="38"/>
  <c r="F237" i="38"/>
  <c r="F239" i="38"/>
  <c r="K40" i="38"/>
  <c r="I161" i="39"/>
  <c r="J169" i="39"/>
  <c r="F353" i="39"/>
  <c r="J381" i="37"/>
  <c r="J402" i="37" s="1"/>
  <c r="J420" i="37" s="1"/>
  <c r="L380" i="37"/>
  <c r="L401" i="37" s="1"/>
  <c r="L419" i="37" s="1"/>
  <c r="K381" i="37"/>
  <c r="K402" i="37" s="1"/>
  <c r="K420" i="37" s="1"/>
  <c r="K52" i="37" s="1"/>
  <c r="G164" i="37"/>
  <c r="G185" i="37" s="1"/>
  <c r="N165" i="37"/>
  <c r="N186" i="37" s="1"/>
  <c r="N204" i="37" s="1"/>
  <c r="N173" i="37"/>
  <c r="N367" i="37"/>
  <c r="N385" i="37" s="1"/>
  <c r="F344" i="37"/>
  <c r="F136" i="38"/>
  <c r="K115" i="38"/>
  <c r="K172" i="38" s="1"/>
  <c r="F126" i="38"/>
  <c r="F145" i="38" s="1"/>
  <c r="F241" i="38"/>
  <c r="F243" i="38"/>
  <c r="K271" i="38"/>
  <c r="K290" i="38" s="1"/>
  <c r="G308" i="38"/>
  <c r="F51" i="39"/>
  <c r="K169" i="39"/>
  <c r="F347" i="40"/>
  <c r="L410" i="40"/>
  <c r="L430" i="40" s="1"/>
  <c r="L58" i="40" s="1"/>
  <c r="K410" i="40"/>
  <c r="K430" i="40" s="1"/>
  <c r="K58" i="40" s="1"/>
  <c r="I410" i="41"/>
  <c r="I430" i="41" s="1"/>
  <c r="I58" i="41" s="1"/>
  <c r="M93" i="41"/>
  <c r="M94" i="37"/>
  <c r="N163" i="37"/>
  <c r="N184" i="37" s="1"/>
  <c r="H348" i="37"/>
  <c r="H164" i="37"/>
  <c r="H185" i="37" s="1"/>
  <c r="O165" i="37"/>
  <c r="O186" i="37" s="1"/>
  <c r="O204" i="37" s="1"/>
  <c r="F154" i="37"/>
  <c r="O173" i="37"/>
  <c r="M334" i="39"/>
  <c r="N169" i="39"/>
  <c r="J380" i="37"/>
  <c r="J401" i="37" s="1"/>
  <c r="K380" i="37"/>
  <c r="K401" i="37" s="1"/>
  <c r="H162" i="37"/>
  <c r="H183" i="37" s="1"/>
  <c r="P165" i="37"/>
  <c r="P186" i="37" s="1"/>
  <c r="P204" i="37" s="1"/>
  <c r="I208" i="37"/>
  <c r="P173" i="37"/>
  <c r="G110" i="38"/>
  <c r="J151" i="38"/>
  <c r="N334" i="39"/>
  <c r="H336" i="39"/>
  <c r="H394" i="39" s="1"/>
  <c r="L150" i="39"/>
  <c r="L164" i="39" s="1"/>
  <c r="G170" i="39"/>
  <c r="F340" i="39"/>
  <c r="N363" i="39"/>
  <c r="N357" i="41"/>
  <c r="I106" i="41"/>
  <c r="I63" i="41"/>
  <c r="I77" i="41"/>
  <c r="I80" i="41" s="1"/>
  <c r="I4" i="41" s="1"/>
  <c r="M26" i="37"/>
  <c r="J357" i="37"/>
  <c r="J161" i="37"/>
  <c r="J182" i="37" s="1"/>
  <c r="J376" i="37"/>
  <c r="J377" i="37" s="1"/>
  <c r="J398" i="37" s="1"/>
  <c r="K376" i="37"/>
  <c r="K379" i="37" s="1"/>
  <c r="K400" i="37" s="1"/>
  <c r="K358" i="37"/>
  <c r="K357" i="37"/>
  <c r="J388" i="37"/>
  <c r="J409" i="37" s="1"/>
  <c r="J427" i="37" s="1"/>
  <c r="L170" i="37"/>
  <c r="L191" i="37" s="1"/>
  <c r="L209" i="37" s="1"/>
  <c r="K386" i="37"/>
  <c r="K407" i="37" s="1"/>
  <c r="K425" i="37" s="1"/>
  <c r="Q26" i="37"/>
  <c r="I94" i="37"/>
  <c r="P94" i="37"/>
  <c r="F144" i="37"/>
  <c r="M169" i="37"/>
  <c r="M190" i="37" s="1"/>
  <c r="M208" i="37" s="1"/>
  <c r="Q169" i="37"/>
  <c r="Q190" i="37" s="1"/>
  <c r="Q208" i="37" s="1"/>
  <c r="M170" i="37"/>
  <c r="M191" i="37" s="1"/>
  <c r="M209" i="37" s="1"/>
  <c r="Q170" i="37"/>
  <c r="Q191" i="37" s="1"/>
  <c r="Q209" i="37" s="1"/>
  <c r="I172" i="37"/>
  <c r="I193" i="37" s="1"/>
  <c r="I211" i="37" s="1"/>
  <c r="I164" i="37"/>
  <c r="I185" i="37" s="1"/>
  <c r="P166" i="37"/>
  <c r="P187" i="37" s="1"/>
  <c r="P205" i="37" s="1"/>
  <c r="O300" i="37"/>
  <c r="O499" i="37" s="1"/>
  <c r="O491" i="37" s="1"/>
  <c r="K419" i="37"/>
  <c r="J199" i="37"/>
  <c r="J202" i="37" s="1"/>
  <c r="J158" i="37"/>
  <c r="J162" i="37" s="1"/>
  <c r="J183" i="37" s="1"/>
  <c r="J419" i="37"/>
  <c r="J389" i="37"/>
  <c r="K171" i="37"/>
  <c r="K192" i="37" s="1"/>
  <c r="K210" i="37" s="1"/>
  <c r="K163" i="37"/>
  <c r="K184" i="37" s="1"/>
  <c r="J171" i="37"/>
  <c r="J192" i="37" s="1"/>
  <c r="J210" i="37" s="1"/>
  <c r="L387" i="37"/>
  <c r="L408" i="37" s="1"/>
  <c r="L426" i="37" s="1"/>
  <c r="K169" i="37"/>
  <c r="K190" i="37" s="1"/>
  <c r="K387" i="37"/>
  <c r="K408" i="37" s="1"/>
  <c r="K426" i="37" s="1"/>
  <c r="Q348" i="37"/>
  <c r="L160" i="37"/>
  <c r="L163" i="37" s="1"/>
  <c r="L184" i="37" s="1"/>
  <c r="L172" i="37"/>
  <c r="L193" i="37" s="1"/>
  <c r="L211" i="37" s="1"/>
  <c r="L386" i="37"/>
  <c r="L407" i="37" s="1"/>
  <c r="L425" i="37" s="1"/>
  <c r="H66" i="37"/>
  <c r="F118" i="37"/>
  <c r="O348" i="37"/>
  <c r="F147" i="37"/>
  <c r="G170" i="37"/>
  <c r="G191" i="37" s="1"/>
  <c r="N170" i="37"/>
  <c r="N191" i="37" s="1"/>
  <c r="N209" i="37" s="1"/>
  <c r="F153" i="37"/>
  <c r="M172" i="37"/>
  <c r="M193" i="37" s="1"/>
  <c r="M211" i="37" s="1"/>
  <c r="Q172" i="37"/>
  <c r="Q193" i="37" s="1"/>
  <c r="Q211" i="37" s="1"/>
  <c r="F232" i="37"/>
  <c r="F242" i="37" s="1"/>
  <c r="G242" i="37" s="1"/>
  <c r="G111" i="37" s="1"/>
  <c r="F111" i="37" s="1"/>
  <c r="H310" i="37"/>
  <c r="F335" i="37"/>
  <c r="F343" i="37"/>
  <c r="F349" i="37"/>
  <c r="L158" i="37"/>
  <c r="L162" i="37" s="1"/>
  <c r="L183" i="37" s="1"/>
  <c r="J386" i="37"/>
  <c r="J407" i="37" s="1"/>
  <c r="J425" i="37" s="1"/>
  <c r="J170" i="37"/>
  <c r="J191" i="37" s="1"/>
  <c r="J209" i="37" s="1"/>
  <c r="L169" i="37"/>
  <c r="L190" i="37" s="1"/>
  <c r="J67" i="37"/>
  <c r="J63" i="37"/>
  <c r="J77" i="37"/>
  <c r="J80" i="37" s="1"/>
  <c r="J4" i="37" s="1"/>
  <c r="L385" i="37"/>
  <c r="L406" i="37" s="1"/>
  <c r="L424" i="37" s="1"/>
  <c r="L388" i="37"/>
  <c r="L409" i="37" s="1"/>
  <c r="L427" i="37" s="1"/>
  <c r="L57" i="37" s="1"/>
  <c r="L358" i="37"/>
  <c r="K385" i="37"/>
  <c r="K406" i="37" s="1"/>
  <c r="K424" i="37" s="1"/>
  <c r="M348" i="37"/>
  <c r="J374" i="37"/>
  <c r="J378" i="37" s="1"/>
  <c r="J399" i="37" s="1"/>
  <c r="K158" i="37"/>
  <c r="K162" i="37" s="1"/>
  <c r="K183" i="37" s="1"/>
  <c r="K172" i="37"/>
  <c r="K193" i="37" s="1"/>
  <c r="K211" i="37" s="1"/>
  <c r="H364" i="37"/>
  <c r="H382" i="37" s="1"/>
  <c r="O364" i="37"/>
  <c r="O382" i="37" s="1"/>
  <c r="H21" i="37"/>
  <c r="H15" i="37" s="1"/>
  <c r="H13" i="37" s="1"/>
  <c r="H77" i="37" s="1"/>
  <c r="H80" i="37" s="1"/>
  <c r="H4" i="37" s="1"/>
  <c r="F41" i="37"/>
  <c r="F101" i="37"/>
  <c r="H169" i="37"/>
  <c r="H190" i="37" s="1"/>
  <c r="H208" i="37" s="1"/>
  <c r="O169" i="37"/>
  <c r="O190" i="37" s="1"/>
  <c r="O208" i="37" s="1"/>
  <c r="H170" i="37"/>
  <c r="H191" i="37" s="1"/>
  <c r="H209" i="37" s="1"/>
  <c r="O170" i="37"/>
  <c r="O191" i="37" s="1"/>
  <c r="O209" i="37" s="1"/>
  <c r="P170" i="37"/>
  <c r="P191" i="37" s="1"/>
  <c r="P209" i="37" s="1"/>
  <c r="P172" i="37"/>
  <c r="P193" i="37" s="1"/>
  <c r="P211" i="37" s="1"/>
  <c r="H360" i="37"/>
  <c r="J387" i="37"/>
  <c r="J408" i="37" s="1"/>
  <c r="J426" i="37" s="1"/>
  <c r="K67" i="37"/>
  <c r="K63" i="37"/>
  <c r="K77" i="37"/>
  <c r="K80" i="37" s="1"/>
  <c r="K4" i="37" s="1"/>
  <c r="K482" i="37"/>
  <c r="K473" i="37"/>
  <c r="K499" i="37"/>
  <c r="K491" i="37" s="1"/>
  <c r="L173" i="37"/>
  <c r="J499" i="37"/>
  <c r="J491" i="37" s="1"/>
  <c r="J482" i="37"/>
  <c r="J473" i="37"/>
  <c r="K388" i="37"/>
  <c r="K409" i="37" s="1"/>
  <c r="K427" i="37" s="1"/>
  <c r="K57" i="37" s="1"/>
  <c r="K389" i="37"/>
  <c r="F223" i="37"/>
  <c r="F438" i="37" s="1"/>
  <c r="P141" i="37"/>
  <c r="F112" i="37"/>
  <c r="G143" i="37"/>
  <c r="G160" i="37" s="1"/>
  <c r="G163" i="37" s="1"/>
  <c r="M141" i="37"/>
  <c r="I141" i="37"/>
  <c r="G93" i="40"/>
  <c r="I58" i="40"/>
  <c r="H53" i="40"/>
  <c r="H357" i="40"/>
  <c r="M163" i="40"/>
  <c r="M184" i="40" s="1"/>
  <c r="J174" i="40"/>
  <c r="J97" i="40" s="1"/>
  <c r="J96" i="40" s="1"/>
  <c r="J91" i="40" s="1"/>
  <c r="J180" i="40" s="1"/>
  <c r="M159" i="40"/>
  <c r="M181" i="40" s="1"/>
  <c r="M197" i="40" s="1"/>
  <c r="N174" i="40"/>
  <c r="N97" i="40" s="1"/>
  <c r="N96" i="40" s="1"/>
  <c r="N91" i="40" s="1"/>
  <c r="N180" i="40" s="1"/>
  <c r="I159" i="40"/>
  <c r="K162" i="40"/>
  <c r="K183" i="40" s="1"/>
  <c r="J181" i="40"/>
  <c r="F214" i="41"/>
  <c r="K58" i="41"/>
  <c r="H357" i="41"/>
  <c r="K63" i="41"/>
  <c r="K67" i="41"/>
  <c r="K74" i="41" s="1"/>
  <c r="K75" i="41" s="1"/>
  <c r="K357" i="41"/>
  <c r="F141" i="41"/>
  <c r="K272" i="41" s="1"/>
  <c r="K159" i="41"/>
  <c r="K181" i="41" s="1"/>
  <c r="F142" i="41"/>
  <c r="M419" i="41"/>
  <c r="M309" i="41"/>
  <c r="M374" i="41"/>
  <c r="M375" i="41" s="1"/>
  <c r="M397" i="41" s="1"/>
  <c r="K52" i="41"/>
  <c r="J419" i="41"/>
  <c r="J309" i="41"/>
  <c r="N376" i="41"/>
  <c r="N377" i="41" s="1"/>
  <c r="N398" i="41" s="1"/>
  <c r="I181" i="41"/>
  <c r="F447" i="41"/>
  <c r="F457" i="41" s="1"/>
  <c r="G457" i="41" s="1"/>
  <c r="G327" i="41" s="1"/>
  <c r="F327" i="41" s="1"/>
  <c r="G310" i="41"/>
  <c r="N482" i="41"/>
  <c r="N473" i="41"/>
  <c r="N499" i="41"/>
  <c r="N491" i="41" s="1"/>
  <c r="F370" i="41"/>
  <c r="N58" i="41"/>
  <c r="F409" i="41"/>
  <c r="G427" i="41"/>
  <c r="M357" i="41"/>
  <c r="G385" i="41"/>
  <c r="G406" i="41" s="1"/>
  <c r="F367" i="41"/>
  <c r="G380" i="41"/>
  <c r="G401" i="41" s="1"/>
  <c r="F362" i="41"/>
  <c r="G387" i="41"/>
  <c r="G408" i="41" s="1"/>
  <c r="F369" i="41"/>
  <c r="F347" i="41"/>
  <c r="F333" i="41"/>
  <c r="I358" i="41"/>
  <c r="M376" i="41"/>
  <c r="M377" i="41" s="1"/>
  <c r="M398" i="41" s="1"/>
  <c r="F190" i="41"/>
  <c r="G208" i="41"/>
  <c r="F208" i="41" s="1"/>
  <c r="N77" i="41"/>
  <c r="N80" i="41" s="1"/>
  <c r="N4" i="41" s="1"/>
  <c r="N67" i="41"/>
  <c r="N63" i="41"/>
  <c r="J482" i="41"/>
  <c r="J473" i="41"/>
  <c r="J499" i="41"/>
  <c r="J491" i="41" s="1"/>
  <c r="G205" i="41"/>
  <c r="F205" i="41" s="1"/>
  <c r="F187" i="41"/>
  <c r="M159" i="41"/>
  <c r="N199" i="41"/>
  <c r="N200" i="41" s="1"/>
  <c r="J158" i="41"/>
  <c r="J162" i="41" s="1"/>
  <c r="J183" i="41" s="1"/>
  <c r="G211" i="41"/>
  <c r="F211" i="41" s="1"/>
  <c r="F193" i="41"/>
  <c r="F210" i="41"/>
  <c r="L199" i="41"/>
  <c r="L202" i="41" s="1"/>
  <c r="H158" i="41"/>
  <c r="H162" i="41" s="1"/>
  <c r="H183" i="41" s="1"/>
  <c r="M74" i="41"/>
  <c r="M75" i="41" s="1"/>
  <c r="M71" i="41"/>
  <c r="H106" i="41"/>
  <c r="I74" i="41"/>
  <c r="I75" i="41" s="1"/>
  <c r="I71" i="41"/>
  <c r="L77" i="41"/>
  <c r="L80" i="41" s="1"/>
  <c r="L4" i="41" s="1"/>
  <c r="L67" i="41"/>
  <c r="L63" i="41"/>
  <c r="G381" i="41"/>
  <c r="G402" i="41" s="1"/>
  <c r="F363" i="41"/>
  <c r="G271" i="41"/>
  <c r="J270" i="41"/>
  <c r="I271" i="41"/>
  <c r="I269" i="41"/>
  <c r="I263" i="41"/>
  <c r="I261" i="41"/>
  <c r="L259" i="41"/>
  <c r="L263" i="41"/>
  <c r="G261" i="41"/>
  <c r="K263" i="41"/>
  <c r="N260" i="41"/>
  <c r="H270" i="41"/>
  <c r="G262" i="41"/>
  <c r="J259" i="41"/>
  <c r="F192" i="41"/>
  <c r="L158" i="41"/>
  <c r="L162" i="41" s="1"/>
  <c r="L183" i="41" s="1"/>
  <c r="L374" i="41"/>
  <c r="L378" i="41" s="1"/>
  <c r="L399" i="41" s="1"/>
  <c r="K419" i="41"/>
  <c r="K309" i="41"/>
  <c r="I419" i="41"/>
  <c r="L419" i="41"/>
  <c r="L309" i="41"/>
  <c r="L334" i="41"/>
  <c r="F360" i="41"/>
  <c r="G389" i="41"/>
  <c r="F371" i="41"/>
  <c r="F389" i="41" s="1"/>
  <c r="G386" i="41"/>
  <c r="G407" i="41" s="1"/>
  <c r="F368" i="41"/>
  <c r="N374" i="41"/>
  <c r="N375" i="41" s="1"/>
  <c r="J77" i="41"/>
  <c r="J80" i="41" s="1"/>
  <c r="J4" i="41" s="1"/>
  <c r="J63" i="41"/>
  <c r="J67" i="41"/>
  <c r="F194" i="41"/>
  <c r="M160" i="41"/>
  <c r="M163" i="41" s="1"/>
  <c r="M184" i="41" s="1"/>
  <c r="K204" i="41"/>
  <c r="K106" i="41" s="1"/>
  <c r="K93" i="41"/>
  <c r="N158" i="41"/>
  <c r="N162" i="41" s="1"/>
  <c r="N183" i="41" s="1"/>
  <c r="N93" i="41"/>
  <c r="J93" i="41"/>
  <c r="J357" i="41"/>
  <c r="H93" i="41"/>
  <c r="H499" i="41"/>
  <c r="H491" i="41" s="1"/>
  <c r="H482" i="41"/>
  <c r="H473" i="41"/>
  <c r="L53" i="41"/>
  <c r="H419" i="41"/>
  <c r="H309" i="41"/>
  <c r="K374" i="41"/>
  <c r="K375" i="41" s="1"/>
  <c r="F361" i="41"/>
  <c r="F364" i="41"/>
  <c r="G382" i="41"/>
  <c r="G403" i="41" s="1"/>
  <c r="G410" i="41"/>
  <c r="G209" i="41"/>
  <c r="F209" i="41" s="1"/>
  <c r="F191" i="41"/>
  <c r="F143" i="41"/>
  <c r="N419" i="41"/>
  <c r="N309" i="41"/>
  <c r="J374" i="41"/>
  <c r="J378" i="41" s="1"/>
  <c r="J399" i="41" s="1"/>
  <c r="L93" i="41"/>
  <c r="L203" i="41"/>
  <c r="L106" i="41" s="1"/>
  <c r="F186" i="41"/>
  <c r="G204" i="41"/>
  <c r="G203" i="41"/>
  <c r="G93" i="41"/>
  <c r="F185" i="41"/>
  <c r="N106" i="41"/>
  <c r="I162" i="41"/>
  <c r="I183" i="41" s="1"/>
  <c r="I93" i="41"/>
  <c r="H358" i="41"/>
  <c r="H77" i="41"/>
  <c r="H63" i="41"/>
  <c r="H67" i="41"/>
  <c r="L499" i="41"/>
  <c r="L491" i="41" s="1"/>
  <c r="L482" i="41"/>
  <c r="L473" i="41"/>
  <c r="N376" i="40"/>
  <c r="N377" i="40" s="1"/>
  <c r="N398" i="40" s="1"/>
  <c r="J419" i="40"/>
  <c r="J309" i="40"/>
  <c r="J376" i="40"/>
  <c r="J377" i="40" s="1"/>
  <c r="J398" i="40" s="1"/>
  <c r="L376" i="40"/>
  <c r="L379" i="40" s="1"/>
  <c r="L400" i="40" s="1"/>
  <c r="K376" i="40"/>
  <c r="K377" i="40" s="1"/>
  <c r="K398" i="40" s="1"/>
  <c r="K181" i="40"/>
  <c r="N71" i="40"/>
  <c r="N74" i="40"/>
  <c r="N75" i="40" s="1"/>
  <c r="I374" i="40"/>
  <c r="I375" i="40" s="1"/>
  <c r="M374" i="40"/>
  <c r="M375" i="40" s="1"/>
  <c r="M397" i="40" s="1"/>
  <c r="N357" i="40"/>
  <c r="N358" i="40"/>
  <c r="F333" i="40"/>
  <c r="H71" i="40"/>
  <c r="H74" i="40"/>
  <c r="H75" i="40" s="1"/>
  <c r="L199" i="40"/>
  <c r="L202" i="40" s="1"/>
  <c r="N499" i="40"/>
  <c r="N491" i="40" s="1"/>
  <c r="N482" i="40"/>
  <c r="N473" i="40"/>
  <c r="H374" i="40"/>
  <c r="H375" i="40" s="1"/>
  <c r="H397" i="40" s="1"/>
  <c r="G387" i="40"/>
  <c r="G408" i="40" s="1"/>
  <c r="F369" i="40"/>
  <c r="G482" i="40"/>
  <c r="G473" i="40"/>
  <c r="G499" i="40"/>
  <c r="G491" i="40" s="1"/>
  <c r="J71" i="40"/>
  <c r="J74" i="40"/>
  <c r="J75" i="40" s="1"/>
  <c r="J58" i="40"/>
  <c r="H419" i="40"/>
  <c r="H309" i="40"/>
  <c r="N181" i="40"/>
  <c r="J93" i="40"/>
  <c r="L357" i="40"/>
  <c r="M77" i="40"/>
  <c r="M80" i="40" s="1"/>
  <c r="M4" i="40" s="1"/>
  <c r="M67" i="40"/>
  <c r="M63" i="40"/>
  <c r="K499" i="40"/>
  <c r="K491" i="40" s="1"/>
  <c r="K482" i="40"/>
  <c r="K473" i="40"/>
  <c r="I93" i="40"/>
  <c r="K160" i="40"/>
  <c r="K163" i="40" s="1"/>
  <c r="K184" i="40" s="1"/>
  <c r="F193" i="40"/>
  <c r="G211" i="40"/>
  <c r="F211" i="40" s="1"/>
  <c r="F210" i="40"/>
  <c r="H93" i="40"/>
  <c r="H203" i="40"/>
  <c r="G374" i="40"/>
  <c r="G375" i="40" s="1"/>
  <c r="F360" i="40"/>
  <c r="G385" i="40"/>
  <c r="G406" i="40" s="1"/>
  <c r="F367" i="40"/>
  <c r="N93" i="40"/>
  <c r="J199" i="40"/>
  <c r="J202" i="40" s="1"/>
  <c r="H158" i="40"/>
  <c r="H162" i="40" s="1"/>
  <c r="H183" i="40" s="1"/>
  <c r="M376" i="40"/>
  <c r="M379" i="40" s="1"/>
  <c r="M400" i="40" s="1"/>
  <c r="F192" i="40"/>
  <c r="L203" i="40"/>
  <c r="L106" i="40" s="1"/>
  <c r="L93" i="40"/>
  <c r="L419" i="40"/>
  <c r="L309" i="40"/>
  <c r="M419" i="40"/>
  <c r="M309" i="40"/>
  <c r="N419" i="40"/>
  <c r="N309" i="40"/>
  <c r="J197" i="40"/>
  <c r="J201" i="40" s="1"/>
  <c r="I181" i="40"/>
  <c r="F141" i="40"/>
  <c r="F185" i="40"/>
  <c r="J106" i="40"/>
  <c r="I77" i="40"/>
  <c r="I80" i="40" s="1"/>
  <c r="I4" i="40" s="1"/>
  <c r="I67" i="40"/>
  <c r="I63" i="40"/>
  <c r="F194" i="40"/>
  <c r="G214" i="40"/>
  <c r="F214" i="40" s="1"/>
  <c r="I106" i="40"/>
  <c r="K209" i="40"/>
  <c r="K106" i="40" s="1"/>
  <c r="K93" i="40"/>
  <c r="F26" i="40"/>
  <c r="H499" i="40"/>
  <c r="H491" i="40" s="1"/>
  <c r="H482" i="40"/>
  <c r="H473" i="40"/>
  <c r="F348" i="40"/>
  <c r="G380" i="40"/>
  <c r="G401" i="40" s="1"/>
  <c r="F362" i="40"/>
  <c r="G382" i="40"/>
  <c r="G403" i="40" s="1"/>
  <c r="F364" i="40"/>
  <c r="F371" i="40"/>
  <c r="F389" i="40" s="1"/>
  <c r="G389" i="40"/>
  <c r="N106" i="40"/>
  <c r="M199" i="40"/>
  <c r="M200" i="40" s="1"/>
  <c r="F143" i="40"/>
  <c r="F361" i="40"/>
  <c r="L71" i="40"/>
  <c r="L74" i="40"/>
  <c r="L75" i="40" s="1"/>
  <c r="I419" i="40"/>
  <c r="I309" i="40"/>
  <c r="K419" i="40"/>
  <c r="G410" i="40"/>
  <c r="G158" i="40"/>
  <c r="G162" i="40" s="1"/>
  <c r="F142" i="40"/>
  <c r="N199" i="40"/>
  <c r="N202" i="40" s="1"/>
  <c r="I357" i="40"/>
  <c r="L158" i="40"/>
  <c r="L162" i="40" s="1"/>
  <c r="L183" i="40" s="1"/>
  <c r="J358" i="40"/>
  <c r="J499" i="40"/>
  <c r="J491" i="40" s="1"/>
  <c r="J482" i="40"/>
  <c r="J473" i="40"/>
  <c r="K358" i="40"/>
  <c r="M93" i="40"/>
  <c r="G209" i="40"/>
  <c r="F191" i="40"/>
  <c r="K67" i="40"/>
  <c r="K63" i="40"/>
  <c r="K77" i="40"/>
  <c r="K80" i="40" s="1"/>
  <c r="K4" i="40" s="1"/>
  <c r="L358" i="40"/>
  <c r="L499" i="40"/>
  <c r="L491" i="40" s="1"/>
  <c r="L482" i="40"/>
  <c r="L473" i="40"/>
  <c r="G205" i="40"/>
  <c r="F187" i="40"/>
  <c r="G386" i="40"/>
  <c r="G407" i="40" s="1"/>
  <c r="F368" i="40"/>
  <c r="G381" i="40"/>
  <c r="G402" i="40" s="1"/>
  <c r="F363" i="40"/>
  <c r="G388" i="40"/>
  <c r="G409" i="40" s="1"/>
  <c r="F370" i="40"/>
  <c r="G435" i="37"/>
  <c r="G355" i="37"/>
  <c r="G394" i="37"/>
  <c r="G331" i="37"/>
  <c r="N435" i="37"/>
  <c r="N355" i="37"/>
  <c r="N331" i="37"/>
  <c r="N394" i="37"/>
  <c r="G203" i="37"/>
  <c r="N203" i="37"/>
  <c r="G205" i="37"/>
  <c r="G209" i="37"/>
  <c r="H499" i="37"/>
  <c r="H491" i="37" s="1"/>
  <c r="H482" i="37"/>
  <c r="H473" i="37"/>
  <c r="H203" i="37"/>
  <c r="O203" i="37"/>
  <c r="O77" i="37"/>
  <c r="O80" i="37" s="1"/>
  <c r="O4" i="37" s="1"/>
  <c r="I158" i="37"/>
  <c r="I159" i="37" s="1"/>
  <c r="P158" i="37"/>
  <c r="P162" i="37" s="1"/>
  <c r="P183" i="37" s="1"/>
  <c r="H334" i="37"/>
  <c r="H359" i="37" s="1"/>
  <c r="O334" i="37"/>
  <c r="O359" i="37" s="1"/>
  <c r="M371" i="37"/>
  <c r="M389" i="37" s="1"/>
  <c r="M370" i="37"/>
  <c r="M388" i="37" s="1"/>
  <c r="M409" i="37" s="1"/>
  <c r="M427" i="37" s="1"/>
  <c r="M57" i="37" s="1"/>
  <c r="M367" i="37"/>
  <c r="M385" i="37" s="1"/>
  <c r="M361" i="37"/>
  <c r="M364" i="37"/>
  <c r="M382" i="37" s="1"/>
  <c r="M403" i="37" s="1"/>
  <c r="M421" i="37" s="1"/>
  <c r="M53" i="37" s="1"/>
  <c r="M360" i="37"/>
  <c r="M369" i="37"/>
  <c r="M387" i="37" s="1"/>
  <c r="M408" i="37" s="1"/>
  <c r="M426" i="37" s="1"/>
  <c r="M363" i="37"/>
  <c r="M381" i="37" s="1"/>
  <c r="M402" i="37" s="1"/>
  <c r="M420" i="37" s="1"/>
  <c r="M52" i="37" s="1"/>
  <c r="M368" i="37"/>
  <c r="M386" i="37" s="1"/>
  <c r="M407" i="37" s="1"/>
  <c r="M425" i="37" s="1"/>
  <c r="M362" i="37"/>
  <c r="M380" i="37" s="1"/>
  <c r="Q371" i="37"/>
  <c r="Q389" i="37" s="1"/>
  <c r="Q370" i="37"/>
  <c r="Q388" i="37" s="1"/>
  <c r="Q409" i="37" s="1"/>
  <c r="Q427" i="37" s="1"/>
  <c r="Q367" i="37"/>
  <c r="Q385" i="37" s="1"/>
  <c r="Q406" i="37" s="1"/>
  <c r="Q424" i="37" s="1"/>
  <c r="Q361" i="37"/>
  <c r="Q364" i="37"/>
  <c r="Q382" i="37" s="1"/>
  <c r="Q360" i="37"/>
  <c r="Q363" i="37"/>
  <c r="Q381" i="37" s="1"/>
  <c r="Q402" i="37" s="1"/>
  <c r="Q420" i="37" s="1"/>
  <c r="Q52" i="37" s="1"/>
  <c r="Q368" i="37"/>
  <c r="Q386" i="37" s="1"/>
  <c r="Q362" i="37"/>
  <c r="Q380" i="37" s="1"/>
  <c r="Q401" i="37" s="1"/>
  <c r="Q369" i="37"/>
  <c r="Q387" i="37" s="1"/>
  <c r="Q408" i="37" s="1"/>
  <c r="Q426" i="37" s="1"/>
  <c r="I160" i="37"/>
  <c r="I163" i="37" s="1"/>
  <c r="I184" i="37" s="1"/>
  <c r="P160" i="37"/>
  <c r="P163" i="37" s="1"/>
  <c r="P184" i="37" s="1"/>
  <c r="M203" i="37"/>
  <c r="Q203" i="37"/>
  <c r="I203" i="37"/>
  <c r="M406" i="37"/>
  <c r="M424" i="37" s="1"/>
  <c r="M54" i="37" s="1"/>
  <c r="H435" i="37"/>
  <c r="H394" i="37"/>
  <c r="H331" i="37"/>
  <c r="P499" i="37"/>
  <c r="P491" i="37" s="1"/>
  <c r="P482" i="37"/>
  <c r="P473" i="37"/>
  <c r="Q334" i="37"/>
  <c r="Q359" i="37" s="1"/>
  <c r="N194" i="37"/>
  <c r="N214" i="37" s="1"/>
  <c r="N347" i="37"/>
  <c r="F148" i="37"/>
  <c r="P164" i="37"/>
  <c r="P185" i="37" s="1"/>
  <c r="F185" i="37" s="1"/>
  <c r="G208" i="37"/>
  <c r="I170" i="37"/>
  <c r="I191" i="37" s="1"/>
  <c r="I209" i="37" s="1"/>
  <c r="F339" i="37"/>
  <c r="I435" i="37"/>
  <c r="I394" i="37"/>
  <c r="I331" i="37"/>
  <c r="I355" i="37"/>
  <c r="P435" i="37"/>
  <c r="P394" i="37"/>
  <c r="P331" i="37"/>
  <c r="P355" i="37"/>
  <c r="M499" i="37"/>
  <c r="M491" i="37" s="1"/>
  <c r="M482" i="37"/>
  <c r="M473" i="37"/>
  <c r="Q499" i="37"/>
  <c r="Q491" i="37" s="1"/>
  <c r="Q482" i="37"/>
  <c r="Q473" i="37"/>
  <c r="I21" i="37"/>
  <c r="I15" i="37" s="1"/>
  <c r="I13" i="37" s="1"/>
  <c r="P21" i="37"/>
  <c r="P15" i="37" s="1"/>
  <c r="P13" i="37" s="1"/>
  <c r="N26" i="37"/>
  <c r="I66" i="37"/>
  <c r="P66" i="37"/>
  <c r="H333" i="37"/>
  <c r="N334" i="37"/>
  <c r="N359" i="37" s="1"/>
  <c r="H347" i="37"/>
  <c r="O347" i="37"/>
  <c r="G348" i="37"/>
  <c r="N348" i="37"/>
  <c r="Q141" i="37"/>
  <c r="H143" i="37"/>
  <c r="O143" i="37"/>
  <c r="F145" i="37"/>
  <c r="F151" i="37"/>
  <c r="G172" i="37"/>
  <c r="G193" i="37" s="1"/>
  <c r="N172" i="37"/>
  <c r="N193" i="37" s="1"/>
  <c r="N211" i="37" s="1"/>
  <c r="F155" i="37"/>
  <c r="F173" i="37" s="1"/>
  <c r="M158" i="37"/>
  <c r="M159" i="37" s="1"/>
  <c r="Q158" i="37"/>
  <c r="Q159" i="37" s="1"/>
  <c r="H159" i="37"/>
  <c r="O159" i="37"/>
  <c r="O181" i="37" s="1"/>
  <c r="M331" i="37"/>
  <c r="F338" i="37"/>
  <c r="H403" i="37"/>
  <c r="H421" i="37" s="1"/>
  <c r="O403" i="37"/>
  <c r="O421" i="37" s="1"/>
  <c r="O53" i="37" s="1"/>
  <c r="N406" i="37"/>
  <c r="N424" i="37" s="1"/>
  <c r="N54" i="37" s="1"/>
  <c r="I317" i="37"/>
  <c r="I457" i="37"/>
  <c r="I327" i="37" s="1"/>
  <c r="I310" i="37"/>
  <c r="P457" i="37"/>
  <c r="P327" i="37" s="1"/>
  <c r="P310" i="37"/>
  <c r="O360" i="37"/>
  <c r="L40" i="38"/>
  <c r="H334" i="39"/>
  <c r="F22" i="39"/>
  <c r="L392" i="39"/>
  <c r="L361" i="39"/>
  <c r="G393" i="39"/>
  <c r="G362" i="39"/>
  <c r="K393" i="39"/>
  <c r="K411" i="39" s="1"/>
  <c r="K362" i="39"/>
  <c r="O435" i="37"/>
  <c r="O331" i="37"/>
  <c r="O394" i="37"/>
  <c r="P371" i="37"/>
  <c r="P389" i="37" s="1"/>
  <c r="P369" i="37"/>
  <c r="P387" i="37" s="1"/>
  <c r="P368" i="37"/>
  <c r="P386" i="37" s="1"/>
  <c r="P407" i="37" s="1"/>
  <c r="P425" i="37" s="1"/>
  <c r="P362" i="37"/>
  <c r="P380" i="37" s="1"/>
  <c r="P401" i="37" s="1"/>
  <c r="P358" i="37"/>
  <c r="P367" i="37"/>
  <c r="P385" i="37" s="1"/>
  <c r="P361" i="37"/>
  <c r="P364" i="37"/>
  <c r="P382" i="37" s="1"/>
  <c r="P403" i="37" s="1"/>
  <c r="P421" i="37" s="1"/>
  <c r="P53" i="37" s="1"/>
  <c r="P360" i="37"/>
  <c r="I27" i="37"/>
  <c r="M334" i="37"/>
  <c r="M359" i="37" s="1"/>
  <c r="G194" i="37"/>
  <c r="G347" i="37"/>
  <c r="G171" i="37"/>
  <c r="G192" i="37" s="1"/>
  <c r="Q407" i="37"/>
  <c r="Q425" i="37" s="1"/>
  <c r="P363" i="37"/>
  <c r="P381" i="37" s="1"/>
  <c r="P402" i="37" s="1"/>
  <c r="P420" i="37" s="1"/>
  <c r="P52" i="37" s="1"/>
  <c r="I369" i="37"/>
  <c r="I387" i="37" s="1"/>
  <c r="I408" i="37" s="1"/>
  <c r="I426" i="37" s="1"/>
  <c r="M394" i="37"/>
  <c r="M355" i="37"/>
  <c r="Q394" i="37"/>
  <c r="Q355" i="37"/>
  <c r="Q435" i="37"/>
  <c r="N499" i="37"/>
  <c r="N491" i="37" s="1"/>
  <c r="N482" i="37"/>
  <c r="N473" i="37"/>
  <c r="G370" i="37"/>
  <c r="G364" i="37"/>
  <c r="G360" i="37"/>
  <c r="G369" i="37"/>
  <c r="G363" i="37"/>
  <c r="G368" i="37"/>
  <c r="G362" i="37"/>
  <c r="G358" i="37"/>
  <c r="N370" i="37"/>
  <c r="N388" i="37" s="1"/>
  <c r="N409" i="37" s="1"/>
  <c r="N427" i="37" s="1"/>
  <c r="N369" i="37"/>
  <c r="N387" i="37" s="1"/>
  <c r="N371" i="37"/>
  <c r="N389" i="37" s="1"/>
  <c r="N364" i="37"/>
  <c r="N382" i="37" s="1"/>
  <c r="N403" i="37" s="1"/>
  <c r="N421" i="37" s="1"/>
  <c r="N53" i="37" s="1"/>
  <c r="N360" i="37"/>
  <c r="N363" i="37"/>
  <c r="N381" i="37" s="1"/>
  <c r="N368" i="37"/>
  <c r="N386" i="37" s="1"/>
  <c r="N407" i="37" s="1"/>
  <c r="N425" i="37" s="1"/>
  <c r="N362" i="37"/>
  <c r="N380" i="37" s="1"/>
  <c r="N401" i="37" s="1"/>
  <c r="M21" i="37"/>
  <c r="M15" i="37" s="1"/>
  <c r="M13" i="37" s="1"/>
  <c r="Q21" i="37"/>
  <c r="Q15" i="37" s="1"/>
  <c r="Q13" i="37" s="1"/>
  <c r="O26" i="37"/>
  <c r="O333" i="37" s="1"/>
  <c r="M66" i="37"/>
  <c r="Q66" i="37"/>
  <c r="G141" i="37"/>
  <c r="N141" i="37"/>
  <c r="F146" i="37"/>
  <c r="F152" i="37"/>
  <c r="H172" i="37"/>
  <c r="H193" i="37" s="1"/>
  <c r="H211" i="37" s="1"/>
  <c r="O172" i="37"/>
  <c r="O193" i="37" s="1"/>
  <c r="O211" i="37" s="1"/>
  <c r="N161" i="37"/>
  <c r="N182" i="37" s="1"/>
  <c r="M162" i="37"/>
  <c r="M183" i="37" s="1"/>
  <c r="H194" i="37"/>
  <c r="H214" i="37" s="1"/>
  <c r="Q331" i="37"/>
  <c r="F337" i="37"/>
  <c r="I347" i="37"/>
  <c r="G361" i="37"/>
  <c r="P370" i="37"/>
  <c r="P388" i="37" s="1"/>
  <c r="P409" i="37" s="1"/>
  <c r="P427" i="37" s="1"/>
  <c r="G473" i="37"/>
  <c r="G482" i="37"/>
  <c r="I499" i="37"/>
  <c r="I491" i="37" s="1"/>
  <c r="I482" i="37"/>
  <c r="I473" i="37"/>
  <c r="I371" i="37"/>
  <c r="I389" i="37" s="1"/>
  <c r="I368" i="37"/>
  <c r="I386" i="37" s="1"/>
  <c r="I407" i="37" s="1"/>
  <c r="I425" i="37" s="1"/>
  <c r="I362" i="37"/>
  <c r="I380" i="37" s="1"/>
  <c r="I401" i="37" s="1"/>
  <c r="I370" i="37"/>
  <c r="I388" i="37" s="1"/>
  <c r="I409" i="37" s="1"/>
  <c r="I427" i="37" s="1"/>
  <c r="I57" i="37" s="1"/>
  <c r="I367" i="37"/>
  <c r="I385" i="37" s="1"/>
  <c r="I406" i="37" s="1"/>
  <c r="I424" i="37" s="1"/>
  <c r="I54" i="37" s="1"/>
  <c r="I361" i="37"/>
  <c r="I364" i="37"/>
  <c r="I382" i="37" s="1"/>
  <c r="I403" i="37" s="1"/>
  <c r="I421" i="37" s="1"/>
  <c r="I360" i="37"/>
  <c r="P27" i="37"/>
  <c r="P334" i="37" s="1"/>
  <c r="G165" i="37"/>
  <c r="G186" i="37" s="1"/>
  <c r="I166" i="37"/>
  <c r="I187" i="37" s="1"/>
  <c r="I205" i="37" s="1"/>
  <c r="H369" i="37"/>
  <c r="H387" i="37" s="1"/>
  <c r="H408" i="37" s="1"/>
  <c r="H426" i="37" s="1"/>
  <c r="H363" i="37"/>
  <c r="H381" i="37" s="1"/>
  <c r="H402" i="37" s="1"/>
  <c r="H420" i="37" s="1"/>
  <c r="H52" i="37" s="1"/>
  <c r="H371" i="37"/>
  <c r="H389" i="37" s="1"/>
  <c r="H368" i="37"/>
  <c r="H386" i="37" s="1"/>
  <c r="H362" i="37"/>
  <c r="H380" i="37" s="1"/>
  <c r="H401" i="37" s="1"/>
  <c r="H370" i="37"/>
  <c r="H388" i="37" s="1"/>
  <c r="H409" i="37" s="1"/>
  <c r="H427" i="37" s="1"/>
  <c r="H367" i="37"/>
  <c r="H385" i="37" s="1"/>
  <c r="H406" i="37" s="1"/>
  <c r="H424" i="37" s="1"/>
  <c r="H361" i="37"/>
  <c r="O370" i="37"/>
  <c r="O388" i="37" s="1"/>
  <c r="O409" i="37" s="1"/>
  <c r="O427" i="37" s="1"/>
  <c r="O363" i="37"/>
  <c r="O381" i="37" s="1"/>
  <c r="O402" i="37" s="1"/>
  <c r="O420" i="37" s="1"/>
  <c r="O52" i="37" s="1"/>
  <c r="O369" i="37"/>
  <c r="O387" i="37" s="1"/>
  <c r="O408" i="37" s="1"/>
  <c r="O426" i="37" s="1"/>
  <c r="O368" i="37"/>
  <c r="O386" i="37" s="1"/>
  <c r="O362" i="37"/>
  <c r="O380" i="37" s="1"/>
  <c r="O401" i="37" s="1"/>
  <c r="O367" i="37"/>
  <c r="O385" i="37" s="1"/>
  <c r="O406" i="37" s="1"/>
  <c r="O424" i="37" s="1"/>
  <c r="O361" i="37"/>
  <c r="N21" i="37"/>
  <c r="N15" i="37" s="1"/>
  <c r="N13" i="37" s="1"/>
  <c r="N66" i="37"/>
  <c r="F117" i="37"/>
  <c r="M333" i="37"/>
  <c r="M357" i="37" s="1"/>
  <c r="Q333" i="37"/>
  <c r="Q357" i="37" s="1"/>
  <c r="I334" i="37"/>
  <c r="I359" i="37" s="1"/>
  <c r="F131" i="37"/>
  <c r="M194" i="37"/>
  <c r="M214" i="37" s="1"/>
  <c r="M347" i="37"/>
  <c r="Q194" i="37"/>
  <c r="Q214" i="37" s="1"/>
  <c r="Q347" i="37"/>
  <c r="Q410" i="37" s="1"/>
  <c r="Q430" i="37" s="1"/>
  <c r="I348" i="37"/>
  <c r="I410" i="37" s="1"/>
  <c r="I430" i="37" s="1"/>
  <c r="I58" i="37" s="1"/>
  <c r="P348" i="37"/>
  <c r="H141" i="37"/>
  <c r="O141" i="37"/>
  <c r="G142" i="37"/>
  <c r="N142" i="37"/>
  <c r="M143" i="37"/>
  <c r="Q143" i="37"/>
  <c r="H181" i="37"/>
  <c r="O194" i="37"/>
  <c r="O214" i="37" s="1"/>
  <c r="O310" i="37"/>
  <c r="I333" i="37"/>
  <c r="I358" i="37" s="1"/>
  <c r="M401" i="37"/>
  <c r="P408" i="37"/>
  <c r="P426" i="37" s="1"/>
  <c r="P347" i="37"/>
  <c r="P410" i="37" s="1"/>
  <c r="P430" i="37" s="1"/>
  <c r="P58" i="37" s="1"/>
  <c r="H355" i="37"/>
  <c r="N361" i="37"/>
  <c r="I363" i="37"/>
  <c r="I381" i="37" s="1"/>
  <c r="I402" i="37" s="1"/>
  <c r="I420" i="37" s="1"/>
  <c r="G367" i="37"/>
  <c r="O371" i="37"/>
  <c r="O389" i="37" s="1"/>
  <c r="I235" i="38"/>
  <c r="I115" i="38"/>
  <c r="I89" i="38"/>
  <c r="F90" i="38"/>
  <c r="F116" i="38"/>
  <c r="G116" i="38" s="1"/>
  <c r="F120" i="38"/>
  <c r="G120" i="38" s="1"/>
  <c r="K132" i="38"/>
  <c r="K79" i="38" s="1"/>
  <c r="K74" i="38"/>
  <c r="K75" i="38"/>
  <c r="K73" i="38"/>
  <c r="F262" i="38"/>
  <c r="G262" i="38" s="1"/>
  <c r="F264" i="38"/>
  <c r="G264" i="38" s="1"/>
  <c r="F244" i="38"/>
  <c r="G269" i="38"/>
  <c r="F269" i="38" s="1"/>
  <c r="F286" i="38" s="1"/>
  <c r="G286" i="38" s="1"/>
  <c r="H410" i="37"/>
  <c r="H430" i="37" s="1"/>
  <c r="O410" i="37"/>
  <c r="O430" i="37" s="1"/>
  <c r="F352" i="37"/>
  <c r="F460" i="37"/>
  <c r="I438" i="37"/>
  <c r="P438" i="37"/>
  <c r="L114" i="38"/>
  <c r="L112" i="38"/>
  <c r="I40" i="38"/>
  <c r="G179" i="39"/>
  <c r="G148" i="39"/>
  <c r="F121" i="39"/>
  <c r="K179" i="39"/>
  <c r="K148" i="39"/>
  <c r="J180" i="39"/>
  <c r="J198" i="39" s="1"/>
  <c r="J149" i="39"/>
  <c r="J163" i="39" s="1"/>
  <c r="N180" i="39"/>
  <c r="N198" i="39" s="1"/>
  <c r="N149" i="39"/>
  <c r="N163" i="39" s="1"/>
  <c r="N402" i="37"/>
  <c r="N420" i="37" s="1"/>
  <c r="Q403" i="37"/>
  <c r="Q421" i="37" s="1"/>
  <c r="Q53" i="37" s="1"/>
  <c r="P406" i="37"/>
  <c r="P424" i="37" s="1"/>
  <c r="P54" i="37" s="1"/>
  <c r="H407" i="37"/>
  <c r="H425" i="37" s="1"/>
  <c r="O407" i="37"/>
  <c r="O425" i="37" s="1"/>
  <c r="N408" i="37"/>
  <c r="N426" i="37" s="1"/>
  <c r="F447" i="37"/>
  <c r="F457" i="37" s="1"/>
  <c r="F13" i="38"/>
  <c r="J55" i="38"/>
  <c r="J17" i="38"/>
  <c r="J48" i="38"/>
  <c r="J45" i="38"/>
  <c r="G234" i="38"/>
  <c r="G273" i="38"/>
  <c r="G274" i="38"/>
  <c r="I151" i="38"/>
  <c r="I110" i="38"/>
  <c r="I86" i="38"/>
  <c r="H234" i="38"/>
  <c r="H259" i="38" s="1"/>
  <c r="H114" i="38"/>
  <c r="J89" i="38"/>
  <c r="F89" i="38" s="1"/>
  <c r="H112" i="38"/>
  <c r="H128" i="38"/>
  <c r="H129" i="38" s="1"/>
  <c r="F113" i="38"/>
  <c r="L128" i="38"/>
  <c r="L129" i="38"/>
  <c r="F134" i="38"/>
  <c r="G134" i="38" s="1"/>
  <c r="G145" i="38"/>
  <c r="J235" i="38"/>
  <c r="G271" i="38"/>
  <c r="F248" i="38"/>
  <c r="F270" i="38"/>
  <c r="F287" i="38" s="1"/>
  <c r="G287" i="38" s="1"/>
  <c r="G318" i="38"/>
  <c r="F308" i="38"/>
  <c r="K183" i="39"/>
  <c r="G194" i="39"/>
  <c r="G157" i="39"/>
  <c r="F137" i="39"/>
  <c r="G350" i="39"/>
  <c r="G125" i="39"/>
  <c r="K194" i="39"/>
  <c r="K216" i="39" s="1"/>
  <c r="K350" i="39"/>
  <c r="K370" i="39" s="1"/>
  <c r="K384" i="39" s="1"/>
  <c r="K157" i="39"/>
  <c r="K171" i="39" s="1"/>
  <c r="J351" i="39"/>
  <c r="J125" i="39"/>
  <c r="N351" i="39"/>
  <c r="N125" i="39"/>
  <c r="N157" i="39"/>
  <c r="N171" i="39" s="1"/>
  <c r="N172" i="39" s="1"/>
  <c r="N147" i="39"/>
  <c r="K205" i="39"/>
  <c r="K151" i="39"/>
  <c r="M438" i="37"/>
  <c r="Q438" i="37"/>
  <c r="I17" i="38"/>
  <c r="G45" i="38"/>
  <c r="K45" i="38"/>
  <c r="J110" i="38"/>
  <c r="I129" i="38"/>
  <c r="L173" i="38"/>
  <c r="H173" i="38"/>
  <c r="K173" i="38"/>
  <c r="G173" i="38"/>
  <c r="J173" i="38"/>
  <c r="H258" i="38"/>
  <c r="L258" i="38"/>
  <c r="F261" i="38"/>
  <c r="G261" i="38" s="1"/>
  <c r="F238" i="38"/>
  <c r="F268" i="38"/>
  <c r="F285" i="38" s="1"/>
  <c r="G285" i="38" s="1"/>
  <c r="F245" i="38"/>
  <c r="I271" i="38"/>
  <c r="I290" i="38" s="1"/>
  <c r="K273" i="38"/>
  <c r="K274" i="38" s="1"/>
  <c r="G44" i="38"/>
  <c r="K234" i="38"/>
  <c r="K259" i="38" s="1"/>
  <c r="G136" i="38"/>
  <c r="J115" i="38"/>
  <c r="G119" i="38"/>
  <c r="I273" i="38"/>
  <c r="I274" i="38" s="1"/>
  <c r="F265" i="38"/>
  <c r="G265" i="38" s="1"/>
  <c r="F242" i="38"/>
  <c r="F249" i="38"/>
  <c r="F288" i="38"/>
  <c r="J318" i="38"/>
  <c r="G300" i="39"/>
  <c r="G54" i="39"/>
  <c r="K300" i="39"/>
  <c r="K54" i="39"/>
  <c r="G373" i="39"/>
  <c r="K380" i="39"/>
  <c r="K379" i="39"/>
  <c r="K378" i="39"/>
  <c r="K375" i="39"/>
  <c r="K412" i="39"/>
  <c r="K373" i="39"/>
  <c r="G370" i="39"/>
  <c r="H110" i="38"/>
  <c r="L110" i="38"/>
  <c r="G114" i="38"/>
  <c r="K114" i="38"/>
  <c r="H115" i="38"/>
  <c r="L115" i="38"/>
  <c r="F118" i="38"/>
  <c r="G118" i="38" s="1"/>
  <c r="F124" i="38"/>
  <c r="F141" i="38" s="1"/>
  <c r="G141" i="38" s="1"/>
  <c r="G129" i="38"/>
  <c r="K129" i="38"/>
  <c r="G151" i="38"/>
  <c r="K151" i="38"/>
  <c r="G235" i="38"/>
  <c r="K235" i="38"/>
  <c r="G257" i="38"/>
  <c r="I318" i="38"/>
  <c r="H497" i="39"/>
  <c r="H489" i="39" s="1"/>
  <c r="H480" i="39"/>
  <c r="H471" i="39"/>
  <c r="L497" i="39"/>
  <c r="L489" i="39" s="1"/>
  <c r="L480" i="39"/>
  <c r="L471" i="39"/>
  <c r="H412" i="39"/>
  <c r="H379" i="39"/>
  <c r="H378" i="39"/>
  <c r="H375" i="39"/>
  <c r="H380" i="39"/>
  <c r="H373" i="39"/>
  <c r="L412" i="39"/>
  <c r="L379" i="39"/>
  <c r="L378" i="39"/>
  <c r="L375" i="39"/>
  <c r="L373" i="39"/>
  <c r="L380" i="39"/>
  <c r="G338" i="39"/>
  <c r="F26" i="39"/>
  <c r="L54" i="39"/>
  <c r="F181" i="39"/>
  <c r="F184" i="39"/>
  <c r="G184" i="39" s="1"/>
  <c r="G150" i="39" s="1"/>
  <c r="F188" i="39"/>
  <c r="G188" i="39" s="1"/>
  <c r="G154" i="39" s="1"/>
  <c r="F154" i="39"/>
  <c r="F150" i="39"/>
  <c r="H235" i="38"/>
  <c r="L235" i="38"/>
  <c r="I300" i="39"/>
  <c r="I54" i="39"/>
  <c r="M300" i="39"/>
  <c r="M54" i="39"/>
  <c r="I412" i="39"/>
  <c r="I378" i="39"/>
  <c r="I380" i="39"/>
  <c r="I373" i="39"/>
  <c r="I379" i="39"/>
  <c r="I375" i="39"/>
  <c r="M412" i="39"/>
  <c r="M378" i="39"/>
  <c r="M380" i="39"/>
  <c r="M373" i="39"/>
  <c r="M375" i="39"/>
  <c r="M379" i="39"/>
  <c r="J392" i="39"/>
  <c r="J361" i="39"/>
  <c r="N392" i="39"/>
  <c r="N361" i="39"/>
  <c r="I393" i="39"/>
  <c r="I411" i="39" s="1"/>
  <c r="I362" i="39"/>
  <c r="M393" i="39"/>
  <c r="M411" i="39" s="1"/>
  <c r="M362" i="39"/>
  <c r="M196" i="39"/>
  <c r="M197" i="39" s="1"/>
  <c r="H163" i="39"/>
  <c r="G354" i="39"/>
  <c r="F354" i="39" s="1"/>
  <c r="F141" i="39"/>
  <c r="J355" i="39"/>
  <c r="J447" i="39" s="1"/>
  <c r="J457" i="39" s="1"/>
  <c r="J234" i="39"/>
  <c r="J244" i="39" s="1"/>
  <c r="N355" i="39"/>
  <c r="N447" i="39" s="1"/>
  <c r="N234" i="39"/>
  <c r="N244" i="39" s="1"/>
  <c r="G212" i="39"/>
  <c r="J300" i="39"/>
  <c r="J54" i="39"/>
  <c r="N300" i="39"/>
  <c r="N54" i="39"/>
  <c r="J412" i="39"/>
  <c r="J380" i="39"/>
  <c r="J373" i="39"/>
  <c r="J379" i="39"/>
  <c r="J378" i="39"/>
  <c r="J375" i="39"/>
  <c r="N412" i="39"/>
  <c r="N380" i="39"/>
  <c r="N373" i="39"/>
  <c r="N379" i="39"/>
  <c r="N378" i="39"/>
  <c r="G334" i="39"/>
  <c r="N335" i="39"/>
  <c r="N196" i="39"/>
  <c r="N197" i="39" s="1"/>
  <c r="I352" i="39"/>
  <c r="I125" i="39"/>
  <c r="I338" i="39" s="1"/>
  <c r="M352" i="39"/>
  <c r="M125" i="39"/>
  <c r="J196" i="39"/>
  <c r="J197" i="39" s="1"/>
  <c r="N375" i="39"/>
  <c r="I392" i="39"/>
  <c r="I361" i="39"/>
  <c r="M392" i="39"/>
  <c r="M361" i="39"/>
  <c r="H393" i="39"/>
  <c r="H411" i="39" s="1"/>
  <c r="H362" i="39"/>
  <c r="L393" i="39"/>
  <c r="L411" i="39" s="1"/>
  <c r="L362" i="39"/>
  <c r="G394" i="39"/>
  <c r="J338" i="39"/>
  <c r="N338" i="39"/>
  <c r="H179" i="39"/>
  <c r="L179" i="39"/>
  <c r="G180" i="39"/>
  <c r="K180" i="39"/>
  <c r="K198" i="39" s="1"/>
  <c r="F123" i="39"/>
  <c r="H125" i="39"/>
  <c r="L125" i="39"/>
  <c r="L338" i="39" s="1"/>
  <c r="F185" i="39"/>
  <c r="G185" i="39" s="1"/>
  <c r="G151" i="39" s="1"/>
  <c r="H350" i="39"/>
  <c r="H370" i="39" s="1"/>
  <c r="H384" i="39" s="1"/>
  <c r="H157" i="39"/>
  <c r="H171" i="39" s="1"/>
  <c r="L350" i="39"/>
  <c r="L370" i="39" s="1"/>
  <c r="L384" i="39" s="1"/>
  <c r="L157" i="39"/>
  <c r="L171" i="39" s="1"/>
  <c r="F351" i="39"/>
  <c r="F139" i="39"/>
  <c r="G355" i="39"/>
  <c r="G234" i="39"/>
  <c r="K355" i="39"/>
  <c r="K447" i="39" s="1"/>
  <c r="K457" i="39" s="1"/>
  <c r="K234" i="39"/>
  <c r="K244" i="39" s="1"/>
  <c r="M148" i="39"/>
  <c r="L149" i="39"/>
  <c r="L163" i="39" s="1"/>
  <c r="F151" i="39"/>
  <c r="K170" i="39"/>
  <c r="F206" i="39"/>
  <c r="G206" i="39" s="1"/>
  <c r="I350" i="39"/>
  <c r="I157" i="39"/>
  <c r="I171" i="39" s="1"/>
  <c r="I194" i="39"/>
  <c r="I216" i="39" s="1"/>
  <c r="M350" i="39"/>
  <c r="M370" i="39" s="1"/>
  <c r="M384" i="39" s="1"/>
  <c r="M157" i="39"/>
  <c r="M171" i="39" s="1"/>
  <c r="M194" i="39"/>
  <c r="M216" i="39" s="1"/>
  <c r="F152" i="39"/>
  <c r="F211" i="39"/>
  <c r="G211" i="39" s="1"/>
  <c r="H234" i="39"/>
  <c r="H244" i="39" s="1"/>
  <c r="F398" i="39"/>
  <c r="G398" i="39" s="1"/>
  <c r="G364" i="39" s="1"/>
  <c r="F364" i="39"/>
  <c r="K419" i="39"/>
  <c r="K365" i="39"/>
  <c r="F420" i="39"/>
  <c r="F366" i="39"/>
  <c r="K420" i="39"/>
  <c r="K366" i="39"/>
  <c r="F401" i="39"/>
  <c r="G401" i="39" s="1"/>
  <c r="G367" i="39" s="1"/>
  <c r="F367" i="39"/>
  <c r="J421" i="39"/>
  <c r="J367" i="39"/>
  <c r="N421" i="39"/>
  <c r="N367" i="39"/>
  <c r="K334" i="39"/>
  <c r="J335" i="39"/>
  <c r="I336" i="39"/>
  <c r="I394" i="39" s="1"/>
  <c r="M336" i="39"/>
  <c r="M394" i="39" s="1"/>
  <c r="H338" i="39"/>
  <c r="F187" i="39"/>
  <c r="G187" i="39" s="1"/>
  <c r="G153" i="39" s="1"/>
  <c r="F153" i="39"/>
  <c r="J350" i="39"/>
  <c r="J194" i="39"/>
  <c r="J216" i="39" s="1"/>
  <c r="N350" i="39"/>
  <c r="N194" i="39"/>
  <c r="N216" i="39" s="1"/>
  <c r="I355" i="39"/>
  <c r="I447" i="39" s="1"/>
  <c r="I457" i="39" s="1"/>
  <c r="I234" i="39"/>
  <c r="I244" i="39" s="1"/>
  <c r="M355" i="39"/>
  <c r="M447" i="39" s="1"/>
  <c r="M457" i="39" s="1"/>
  <c r="M234" i="39"/>
  <c r="M244" i="39" s="1"/>
  <c r="H147" i="39"/>
  <c r="I179" i="39"/>
  <c r="H180" i="39"/>
  <c r="H198" i="39" s="1"/>
  <c r="H194" i="39"/>
  <c r="H216" i="39" s="1"/>
  <c r="F207" i="39"/>
  <c r="G207" i="39" s="1"/>
  <c r="L234" i="39"/>
  <c r="L244" i="39" s="1"/>
  <c r="N377" i="39"/>
  <c r="H169" i="39"/>
  <c r="L169" i="39"/>
  <c r="I170" i="39"/>
  <c r="M170" i="39"/>
  <c r="F193" i="39"/>
  <c r="F213" i="39" s="1"/>
  <c r="G213" i="39" s="1"/>
  <c r="H399" i="39"/>
  <c r="F341" i="39"/>
  <c r="L419" i="39"/>
  <c r="L365" i="39"/>
  <c r="H407" i="39"/>
  <c r="H429" i="39" s="1"/>
  <c r="F349" i="39"/>
  <c r="L407" i="39"/>
  <c r="L429" i="39" s="1"/>
  <c r="I367" i="39"/>
  <c r="I169" i="39"/>
  <c r="I172" i="39" s="1"/>
  <c r="J170" i="39"/>
  <c r="I418" i="39"/>
  <c r="I364" i="39"/>
  <c r="M418" i="39"/>
  <c r="M364" i="39"/>
  <c r="F397" i="39"/>
  <c r="G397" i="39" s="1"/>
  <c r="G363" i="39" s="1"/>
  <c r="G404" i="39"/>
  <c r="F404" i="39" s="1"/>
  <c r="F424" i="39" s="1"/>
  <c r="G424" i="39" s="1"/>
  <c r="F346" i="39"/>
  <c r="J363" i="39"/>
  <c r="J377" i="39" s="1"/>
  <c r="J366" i="39"/>
  <c r="F348" i="39"/>
  <c r="K363" i="39"/>
  <c r="K377" i="39" s="1"/>
  <c r="H363" i="39"/>
  <c r="H377" i="39" s="1"/>
  <c r="L363" i="39"/>
  <c r="L377" i="39" s="1"/>
  <c r="J364" i="39"/>
  <c r="N364" i="39"/>
  <c r="I365" i="39"/>
  <c r="M365" i="39"/>
  <c r="H366" i="39"/>
  <c r="L366" i="39"/>
  <c r="K367" i="39"/>
  <c r="L383" i="39"/>
  <c r="H383" i="39"/>
  <c r="K383" i="39"/>
  <c r="G383" i="39"/>
  <c r="N383" i="39"/>
  <c r="J383" i="39"/>
  <c r="L421" i="39"/>
  <c r="I363" i="39"/>
  <c r="I377" i="39" s="1"/>
  <c r="M363" i="39"/>
  <c r="M377" i="39" s="1"/>
  <c r="K364" i="39"/>
  <c r="J365" i="39"/>
  <c r="I366" i="39"/>
  <c r="M366" i="39"/>
  <c r="H367" i="39"/>
  <c r="I383" i="39"/>
  <c r="I382" i="39"/>
  <c r="M382" i="39"/>
  <c r="J382" i="39"/>
  <c r="N382" i="39"/>
  <c r="N457" i="39"/>
  <c r="G382" i="39"/>
  <c r="H457" i="39"/>
  <c r="L457" i="39"/>
  <c r="Q58" i="37" l="1"/>
  <c r="I46" i="39"/>
  <c r="F278" i="38"/>
  <c r="G278" i="38" s="1"/>
  <c r="F352" i="39"/>
  <c r="K58" i="37"/>
  <c r="F358" i="40"/>
  <c r="J57" i="37"/>
  <c r="J46" i="39"/>
  <c r="N379" i="40"/>
  <c r="N400" i="40" s="1"/>
  <c r="I309" i="41"/>
  <c r="J52" i="37"/>
  <c r="J54" i="37"/>
  <c r="G60" i="39"/>
  <c r="F60" i="39" s="1"/>
  <c r="M374" i="39"/>
  <c r="P57" i="37"/>
  <c r="I147" i="39"/>
  <c r="N370" i="39"/>
  <c r="N384" i="39" s="1"/>
  <c r="I374" i="39"/>
  <c r="O54" i="37"/>
  <c r="J268" i="41"/>
  <c r="K407" i="39"/>
  <c r="K429" i="39" s="1"/>
  <c r="N47" i="39"/>
  <c r="N410" i="37"/>
  <c r="N430" i="37" s="1"/>
  <c r="J370" i="39"/>
  <c r="J384" i="39" s="1"/>
  <c r="Q54" i="37"/>
  <c r="H257" i="38"/>
  <c r="J47" i="39"/>
  <c r="L71" i="38"/>
  <c r="G407" i="39"/>
  <c r="I53" i="37"/>
  <c r="H357" i="37"/>
  <c r="Q57" i="37"/>
  <c r="O63" i="37"/>
  <c r="J272" i="41"/>
  <c r="K309" i="40"/>
  <c r="G269" i="41"/>
  <c r="L259" i="38"/>
  <c r="L257" i="38"/>
  <c r="I52" i="37"/>
  <c r="J147" i="39"/>
  <c r="H53" i="37"/>
  <c r="O57" i="37"/>
  <c r="F208" i="39"/>
  <c r="G208" i="39" s="1"/>
  <c r="L46" i="39"/>
  <c r="L53" i="37"/>
  <c r="M46" i="39"/>
  <c r="N46" i="39"/>
  <c r="M47" i="39"/>
  <c r="M407" i="39"/>
  <c r="M429" i="39" s="1"/>
  <c r="F383" i="39"/>
  <c r="F17" i="38"/>
  <c r="N52" i="37"/>
  <c r="N58" i="37"/>
  <c r="J53" i="37"/>
  <c r="I47" i="39"/>
  <c r="N407" i="39"/>
  <c r="N429" i="39" s="1"/>
  <c r="H57" i="37"/>
  <c r="M379" i="41"/>
  <c r="M400" i="41" s="1"/>
  <c r="K260" i="41"/>
  <c r="J106" i="37"/>
  <c r="L376" i="39"/>
  <c r="H46" i="39"/>
  <c r="H376" i="39"/>
  <c r="H47" i="39"/>
  <c r="J407" i="39"/>
  <c r="J429" i="39" s="1"/>
  <c r="L147" i="39"/>
  <c r="N57" i="37"/>
  <c r="H263" i="41"/>
  <c r="K47" i="39"/>
  <c r="K46" i="39"/>
  <c r="J172" i="39"/>
  <c r="F204" i="41"/>
  <c r="I259" i="41"/>
  <c r="K202" i="37"/>
  <c r="J58" i="37"/>
  <c r="J379" i="37"/>
  <c r="J400" i="37" s="1"/>
  <c r="N378" i="41"/>
  <c r="N399" i="41" s="1"/>
  <c r="H378" i="40"/>
  <c r="H399" i="40" s="1"/>
  <c r="M378" i="40"/>
  <c r="M399" i="40" s="1"/>
  <c r="H67" i="37"/>
  <c r="H71" i="37" s="1"/>
  <c r="K159" i="37"/>
  <c r="K174" i="37" s="1"/>
  <c r="K97" i="37" s="1"/>
  <c r="K96" i="37" s="1"/>
  <c r="K91" i="37" s="1"/>
  <c r="H58" i="37"/>
  <c r="H63" i="37"/>
  <c r="J375" i="37"/>
  <c r="J397" i="37" s="1"/>
  <c r="L159" i="37"/>
  <c r="L181" i="37" s="1"/>
  <c r="L161" i="37"/>
  <c r="L182" i="37" s="1"/>
  <c r="L199" i="37" s="1"/>
  <c r="L200" i="37" s="1"/>
  <c r="J159" i="37"/>
  <c r="J181" i="37" s="1"/>
  <c r="P357" i="37"/>
  <c r="P359" i="37"/>
  <c r="J415" i="37"/>
  <c r="J416" i="37" s="1"/>
  <c r="K181" i="37"/>
  <c r="J322" i="37"/>
  <c r="J51" i="37"/>
  <c r="O473" i="37"/>
  <c r="F26" i="37"/>
  <c r="F190" i="37"/>
  <c r="K71" i="37"/>
  <c r="K74" i="37"/>
  <c r="K75" i="37" s="1"/>
  <c r="J74" i="37"/>
  <c r="J75" i="37" s="1"/>
  <c r="J71" i="37"/>
  <c r="K208" i="37"/>
  <c r="K106" i="37" s="1"/>
  <c r="K93" i="37"/>
  <c r="J200" i="37"/>
  <c r="K377" i="37"/>
  <c r="K398" i="37" s="1"/>
  <c r="M410" i="37"/>
  <c r="M430" i="37" s="1"/>
  <c r="M58" i="37" s="1"/>
  <c r="O482" i="37"/>
  <c r="J93" i="37"/>
  <c r="K309" i="37"/>
  <c r="L374" i="37"/>
  <c r="L378" i="37" s="1"/>
  <c r="L399" i="37" s="1"/>
  <c r="G457" i="37"/>
  <c r="G327" i="37" s="1"/>
  <c r="F327" i="37" s="1"/>
  <c r="O58" i="37"/>
  <c r="H54" i="37"/>
  <c r="L208" i="37"/>
  <c r="L106" i="37" s="1"/>
  <c r="L93" i="37"/>
  <c r="L51" i="37"/>
  <c r="J309" i="37"/>
  <c r="K322" i="37"/>
  <c r="K51" i="37"/>
  <c r="K374" i="37"/>
  <c r="K378" i="37" s="1"/>
  <c r="K399" i="37" s="1"/>
  <c r="G161" i="37"/>
  <c r="G182" i="37" s="1"/>
  <c r="G199" i="37" s="1"/>
  <c r="G200" i="37" s="1"/>
  <c r="H358" i="37"/>
  <c r="H374" i="37" s="1"/>
  <c r="H378" i="37" s="1"/>
  <c r="H399" i="37" s="1"/>
  <c r="I161" i="37"/>
  <c r="I182" i="37" s="1"/>
  <c r="I199" i="37" s="1"/>
  <c r="I202" i="37" s="1"/>
  <c r="P159" i="37"/>
  <c r="P181" i="37" s="1"/>
  <c r="P197" i="37" s="1"/>
  <c r="P201" i="37" s="1"/>
  <c r="F143" i="37"/>
  <c r="J379" i="40"/>
  <c r="J400" i="40" s="1"/>
  <c r="M198" i="40"/>
  <c r="M201" i="40"/>
  <c r="M174" i="40"/>
  <c r="M97" i="40" s="1"/>
  <c r="M96" i="40" s="1"/>
  <c r="M91" i="40" s="1"/>
  <c r="M180" i="40" s="1"/>
  <c r="K379" i="40"/>
  <c r="K400" i="40" s="1"/>
  <c r="I378" i="40"/>
  <c r="I399" i="40" s="1"/>
  <c r="L159" i="40"/>
  <c r="L174" i="40" s="1"/>
  <c r="L97" i="40" s="1"/>
  <c r="L96" i="40" s="1"/>
  <c r="L91" i="40" s="1"/>
  <c r="N200" i="40"/>
  <c r="H159" i="40"/>
  <c r="H181" i="40" s="1"/>
  <c r="J200" i="40"/>
  <c r="J198" i="40"/>
  <c r="M377" i="40"/>
  <c r="M398" i="40" s="1"/>
  <c r="M415" i="40" s="1"/>
  <c r="M416" i="40" s="1"/>
  <c r="M48" i="40" s="1"/>
  <c r="G378" i="40"/>
  <c r="G399" i="40" s="1"/>
  <c r="N379" i="41"/>
  <c r="N400" i="41" s="1"/>
  <c r="K71" i="41"/>
  <c r="G260" i="41"/>
  <c r="L262" i="41"/>
  <c r="L264" i="41" s="1"/>
  <c r="L265" i="41" s="1"/>
  <c r="H272" i="41"/>
  <c r="K261" i="41"/>
  <c r="L268" i="41"/>
  <c r="L261" i="41"/>
  <c r="H269" i="41"/>
  <c r="J260" i="41"/>
  <c r="H261" i="41"/>
  <c r="N263" i="41"/>
  <c r="M259" i="41"/>
  <c r="M261" i="41"/>
  <c r="M263" i="41"/>
  <c r="M269" i="41"/>
  <c r="M271" i="41"/>
  <c r="N268" i="41"/>
  <c r="N270" i="41"/>
  <c r="N272" i="41"/>
  <c r="K269" i="41"/>
  <c r="K271" i="41"/>
  <c r="L260" i="41"/>
  <c r="J263" i="41"/>
  <c r="K259" i="41"/>
  <c r="K264" i="41" s="1"/>
  <c r="K265" i="41" s="1"/>
  <c r="H262" i="41"/>
  <c r="L270" i="41"/>
  <c r="J262" i="41"/>
  <c r="H271" i="41"/>
  <c r="H259" i="41"/>
  <c r="N261" i="41"/>
  <c r="L269" i="41"/>
  <c r="I260" i="41"/>
  <c r="I262" i="41"/>
  <c r="I264" i="41" s="1"/>
  <c r="I265" i="41" s="1"/>
  <c r="I268" i="41"/>
  <c r="I270" i="41"/>
  <c r="I272" i="41"/>
  <c r="J269" i="41"/>
  <c r="J271" i="41"/>
  <c r="J273" i="41" s="1"/>
  <c r="J274" i="41" s="1"/>
  <c r="J160" i="41" s="1"/>
  <c r="G268" i="41"/>
  <c r="G273" i="41" s="1"/>
  <c r="G274" i="41" s="1"/>
  <c r="G160" i="41" s="1"/>
  <c r="G163" i="41" s="1"/>
  <c r="G184" i="41" s="1"/>
  <c r="G270" i="41"/>
  <c r="G272" i="41"/>
  <c r="J261" i="41"/>
  <c r="H268" i="41"/>
  <c r="H260" i="41"/>
  <c r="N262" i="41"/>
  <c r="L272" i="41"/>
  <c r="G263" i="41"/>
  <c r="G259" i="41"/>
  <c r="N259" i="41"/>
  <c r="K262" i="41"/>
  <c r="L271" i="41"/>
  <c r="M260" i="41"/>
  <c r="M262" i="41"/>
  <c r="M268" i="41"/>
  <c r="M270" i="41"/>
  <c r="M272" i="41"/>
  <c r="N269" i="41"/>
  <c r="N271" i="41"/>
  <c r="K268" i="41"/>
  <c r="K273" i="41" s="1"/>
  <c r="K274" i="41" s="1"/>
  <c r="K160" i="41" s="1"/>
  <c r="K270" i="41"/>
  <c r="M378" i="41"/>
  <c r="M399" i="41" s="1"/>
  <c r="J375" i="41"/>
  <c r="J397" i="41" s="1"/>
  <c r="H264" i="41"/>
  <c r="H265" i="41" s="1"/>
  <c r="N202" i="41"/>
  <c r="K378" i="41"/>
  <c r="K399" i="41" s="1"/>
  <c r="I273" i="41"/>
  <c r="I274" i="41" s="1"/>
  <c r="I160" i="41" s="1"/>
  <c r="I163" i="41" s="1"/>
  <c r="I184" i="41" s="1"/>
  <c r="L200" i="41"/>
  <c r="M161" i="41"/>
  <c r="M182" i="41" s="1"/>
  <c r="M199" i="41" s="1"/>
  <c r="L375" i="41"/>
  <c r="L397" i="41" s="1"/>
  <c r="L413" i="41" s="1"/>
  <c r="L417" i="41" s="1"/>
  <c r="H159" i="41"/>
  <c r="K397" i="41"/>
  <c r="N397" i="41"/>
  <c r="M415" i="41"/>
  <c r="N415" i="41"/>
  <c r="I374" i="41"/>
  <c r="I378" i="41" s="1"/>
  <c r="I399" i="41" s="1"/>
  <c r="F358" i="41"/>
  <c r="H80" i="41"/>
  <c r="H71" i="41"/>
  <c r="H74" i="41"/>
  <c r="H75" i="41" s="1"/>
  <c r="H374" i="41"/>
  <c r="H378" i="41" s="1"/>
  <c r="H399" i="41" s="1"/>
  <c r="M413" i="41"/>
  <c r="M414" i="41" s="1"/>
  <c r="L322" i="41"/>
  <c r="L51" i="41"/>
  <c r="K322" i="41"/>
  <c r="K51" i="41"/>
  <c r="L159" i="41"/>
  <c r="G426" i="41"/>
  <c r="F426" i="41" s="1"/>
  <c r="F408" i="41"/>
  <c r="F406" i="41"/>
  <c r="G424" i="41"/>
  <c r="F427" i="41"/>
  <c r="F57" i="41" s="1"/>
  <c r="G57" i="41"/>
  <c r="N322" i="41"/>
  <c r="N51" i="41"/>
  <c r="F410" i="41"/>
  <c r="G430" i="41"/>
  <c r="F403" i="41"/>
  <c r="G421" i="41"/>
  <c r="J71" i="41"/>
  <c r="J74" i="41"/>
  <c r="J75" i="41" s="1"/>
  <c r="G425" i="41"/>
  <c r="F425" i="41" s="1"/>
  <c r="F407" i="41"/>
  <c r="G420" i="41"/>
  <c r="F402" i="41"/>
  <c r="I76" i="41"/>
  <c r="I78" i="41" s="1"/>
  <c r="I79" i="41"/>
  <c r="M76" i="41"/>
  <c r="M78" i="41" s="1"/>
  <c r="M79" i="41"/>
  <c r="N71" i="41"/>
  <c r="N74" i="41"/>
  <c r="N75" i="41" s="1"/>
  <c r="F203" i="41"/>
  <c r="G106" i="41"/>
  <c r="F106" i="41" s="1"/>
  <c r="L71" i="41"/>
  <c r="L74" i="41"/>
  <c r="L75" i="41" s="1"/>
  <c r="K76" i="41"/>
  <c r="K78" i="41" s="1"/>
  <c r="K79" i="41"/>
  <c r="H322" i="41"/>
  <c r="H51" i="41"/>
  <c r="N159" i="41"/>
  <c r="L357" i="41"/>
  <c r="L359" i="41"/>
  <c r="I322" i="41"/>
  <c r="I51" i="41"/>
  <c r="J159" i="41"/>
  <c r="M181" i="41"/>
  <c r="G419" i="41"/>
  <c r="F401" i="41"/>
  <c r="G309" i="41"/>
  <c r="J322" i="41"/>
  <c r="J51" i="41"/>
  <c r="M322" i="41"/>
  <c r="M51" i="41"/>
  <c r="L79" i="40"/>
  <c r="L76" i="40"/>
  <c r="L78" i="40" s="1"/>
  <c r="J415" i="40"/>
  <c r="J416" i="40" s="1"/>
  <c r="I397" i="40"/>
  <c r="H79" i="40"/>
  <c r="H76" i="40"/>
  <c r="H78" i="40" s="1"/>
  <c r="J76" i="40"/>
  <c r="J78" i="40" s="1"/>
  <c r="J79" i="40"/>
  <c r="N415" i="40"/>
  <c r="N416" i="40" s="1"/>
  <c r="N48" i="40" s="1"/>
  <c r="H413" i="40"/>
  <c r="H414" i="40" s="1"/>
  <c r="G426" i="40"/>
  <c r="F426" i="40" s="1"/>
  <c r="F408" i="40"/>
  <c r="K197" i="40"/>
  <c r="K201" i="40" s="1"/>
  <c r="F205" i="40"/>
  <c r="G106" i="40"/>
  <c r="L374" i="40"/>
  <c r="L378" i="40" s="1"/>
  <c r="L399" i="40" s="1"/>
  <c r="K71" i="40"/>
  <c r="K74" i="40"/>
  <c r="K75" i="40" s="1"/>
  <c r="M202" i="40"/>
  <c r="F401" i="40"/>
  <c r="G419" i="40"/>
  <c r="G309" i="40"/>
  <c r="I197" i="40"/>
  <c r="I201" i="40" s="1"/>
  <c r="N322" i="40"/>
  <c r="N51" i="40"/>
  <c r="L322" i="40"/>
  <c r="L51" i="40"/>
  <c r="K161" i="40"/>
  <c r="L200" i="40"/>
  <c r="N76" i="40"/>
  <c r="N78" i="40" s="1"/>
  <c r="N79" i="40"/>
  <c r="L377" i="40"/>
  <c r="L398" i="40" s="1"/>
  <c r="J322" i="40"/>
  <c r="J51" i="40"/>
  <c r="F402" i="40"/>
  <c r="G420" i="40"/>
  <c r="K415" i="40"/>
  <c r="K416" i="40" s="1"/>
  <c r="G427" i="40"/>
  <c r="F409" i="40"/>
  <c r="G425" i="40"/>
  <c r="F425" i="40" s="1"/>
  <c r="F407" i="40"/>
  <c r="G183" i="40"/>
  <c r="F162" i="40"/>
  <c r="F410" i="40"/>
  <c r="G430" i="40"/>
  <c r="I322" i="40"/>
  <c r="I51" i="40"/>
  <c r="G421" i="40"/>
  <c r="F403" i="40"/>
  <c r="I74" i="40"/>
  <c r="I75" i="40" s="1"/>
  <c r="I71" i="40"/>
  <c r="G424" i="40"/>
  <c r="F406" i="40"/>
  <c r="H106" i="40"/>
  <c r="F203" i="40"/>
  <c r="M74" i="40"/>
  <c r="M75" i="40" s="1"/>
  <c r="M71" i="40"/>
  <c r="H322" i="40"/>
  <c r="H51" i="40"/>
  <c r="M413" i="40"/>
  <c r="K322" i="40"/>
  <c r="K51" i="40"/>
  <c r="K272" i="40"/>
  <c r="G272" i="40"/>
  <c r="M272" i="40"/>
  <c r="H272" i="40"/>
  <c r="K271" i="40"/>
  <c r="G271" i="40"/>
  <c r="K270" i="40"/>
  <c r="G270" i="40"/>
  <c r="K269" i="40"/>
  <c r="G269" i="40"/>
  <c r="K268" i="40"/>
  <c r="G268" i="40"/>
  <c r="K263" i="40"/>
  <c r="G263" i="40"/>
  <c r="K262" i="40"/>
  <c r="G262" i="40"/>
  <c r="K261" i="40"/>
  <c r="G261" i="40"/>
  <c r="K260" i="40"/>
  <c r="G260" i="40"/>
  <c r="K259" i="40"/>
  <c r="G259" i="40"/>
  <c r="L272" i="40"/>
  <c r="N271" i="40"/>
  <c r="J271" i="40"/>
  <c r="N270" i="40"/>
  <c r="J270" i="40"/>
  <c r="N269" i="40"/>
  <c r="J269" i="40"/>
  <c r="N268" i="40"/>
  <c r="J268" i="40"/>
  <c r="N263" i="40"/>
  <c r="J263" i="40"/>
  <c r="N262" i="40"/>
  <c r="J262" i="40"/>
  <c r="N261" i="40"/>
  <c r="J261" i="40"/>
  <c r="N260" i="40"/>
  <c r="J260" i="40"/>
  <c r="N259" i="40"/>
  <c r="J259" i="40"/>
  <c r="J272" i="40"/>
  <c r="M271" i="40"/>
  <c r="I271" i="40"/>
  <c r="M270" i="40"/>
  <c r="I270" i="40"/>
  <c r="M269" i="40"/>
  <c r="I269" i="40"/>
  <c r="M268" i="40"/>
  <c r="I268" i="40"/>
  <c r="M263" i="40"/>
  <c r="I263" i="40"/>
  <c r="M262" i="40"/>
  <c r="I262" i="40"/>
  <c r="M261" i="40"/>
  <c r="I261" i="40"/>
  <c r="M260" i="40"/>
  <c r="I260" i="40"/>
  <c r="M259" i="40"/>
  <c r="I259" i="40"/>
  <c r="H271" i="40"/>
  <c r="H269" i="40"/>
  <c r="H263" i="40"/>
  <c r="H261" i="40"/>
  <c r="H259" i="40"/>
  <c r="N272" i="40"/>
  <c r="L270" i="40"/>
  <c r="L268" i="40"/>
  <c r="L262" i="40"/>
  <c r="L260" i="40"/>
  <c r="I272" i="40"/>
  <c r="H270" i="40"/>
  <c r="H268" i="40"/>
  <c r="H262" i="40"/>
  <c r="H260" i="40"/>
  <c r="L271" i="40"/>
  <c r="L261" i="40"/>
  <c r="L269" i="40"/>
  <c r="L259" i="40"/>
  <c r="L263" i="40"/>
  <c r="N197" i="40"/>
  <c r="N201" i="40" s="1"/>
  <c r="F209" i="40"/>
  <c r="K374" i="40"/>
  <c r="K378" i="40" s="1"/>
  <c r="K399" i="40" s="1"/>
  <c r="J374" i="40"/>
  <c r="J378" i="40" s="1"/>
  <c r="J399" i="40" s="1"/>
  <c r="G159" i="40"/>
  <c r="M322" i="40"/>
  <c r="M51" i="40"/>
  <c r="N374" i="40"/>
  <c r="N378" i="40" s="1"/>
  <c r="N399" i="40" s="1"/>
  <c r="J96" i="39"/>
  <c r="J95" i="39" s="1"/>
  <c r="J124" i="39"/>
  <c r="J182" i="39"/>
  <c r="I396" i="39"/>
  <c r="L47" i="39"/>
  <c r="M360" i="39"/>
  <c r="H396" i="39"/>
  <c r="K392" i="39"/>
  <c r="K361" i="39"/>
  <c r="F418" i="39"/>
  <c r="G418" i="39" s="1"/>
  <c r="F205" i="39"/>
  <c r="G205" i="39" s="1"/>
  <c r="F180" i="39"/>
  <c r="G198" i="39"/>
  <c r="G199" i="39" s="1"/>
  <c r="F199" i="39" s="1"/>
  <c r="H196" i="39"/>
  <c r="H197" i="39" s="1"/>
  <c r="F336" i="39"/>
  <c r="N497" i="39"/>
  <c r="N489" i="39" s="1"/>
  <c r="N480" i="39"/>
  <c r="N471" i="39"/>
  <c r="H172" i="39"/>
  <c r="N374" i="39"/>
  <c r="Q181" i="37"/>
  <c r="I181" i="37"/>
  <c r="F399" i="39"/>
  <c r="G399" i="39" s="1"/>
  <c r="G365" i="39" s="1"/>
  <c r="F419" i="39"/>
  <c r="F365" i="39"/>
  <c r="F170" i="39"/>
  <c r="I197" i="39"/>
  <c r="I196" i="39"/>
  <c r="I407" i="39"/>
  <c r="I429" i="39" s="1"/>
  <c r="I370" i="39"/>
  <c r="I384" i="39" s="1"/>
  <c r="N396" i="39"/>
  <c r="F394" i="39"/>
  <c r="I409" i="39"/>
  <c r="I410" i="39" s="1"/>
  <c r="I183" i="39"/>
  <c r="N362" i="39"/>
  <c r="N376" i="39" s="1"/>
  <c r="N393" i="39"/>
  <c r="N411" i="39" s="1"/>
  <c r="M181" i="37"/>
  <c r="I182" i="39"/>
  <c r="I96" i="39"/>
  <c r="I95" i="39" s="1"/>
  <c r="I124" i="39"/>
  <c r="H419" i="39"/>
  <c r="H365" i="39"/>
  <c r="L360" i="39"/>
  <c r="L172" i="39"/>
  <c r="F234" i="39"/>
  <c r="G244" i="39"/>
  <c r="F244" i="39" s="1"/>
  <c r="L183" i="39"/>
  <c r="L196" i="39"/>
  <c r="L197" i="39" s="1"/>
  <c r="J396" i="39"/>
  <c r="M409" i="39"/>
  <c r="M410" i="39" s="1"/>
  <c r="G361" i="39"/>
  <c r="F334" i="39"/>
  <c r="G392" i="39"/>
  <c r="J374" i="39"/>
  <c r="H260" i="38"/>
  <c r="H216" i="38" s="1"/>
  <c r="F149" i="39"/>
  <c r="I374" i="37"/>
  <c r="I375" i="37" s="1"/>
  <c r="I376" i="37"/>
  <c r="I377" i="37" s="1"/>
  <c r="I398" i="37" s="1"/>
  <c r="N199" i="37"/>
  <c r="N202" i="37" s="1"/>
  <c r="O358" i="37"/>
  <c r="O357" i="37"/>
  <c r="O197" i="37"/>
  <c r="O201" i="37" s="1"/>
  <c r="Q376" i="37"/>
  <c r="Q377" i="37" s="1"/>
  <c r="Q398" i="37" s="1"/>
  <c r="F407" i="39"/>
  <c r="F429" i="39" s="1"/>
  <c r="G429" i="39" s="1"/>
  <c r="F382" i="39"/>
  <c r="G47" i="39"/>
  <c r="F417" i="39"/>
  <c r="G417" i="39" s="1"/>
  <c r="F169" i="39"/>
  <c r="L396" i="39"/>
  <c r="J362" i="39"/>
  <c r="J376" i="39" s="1"/>
  <c r="J393" i="39"/>
  <c r="J411" i="39" s="1"/>
  <c r="F335" i="39"/>
  <c r="F421" i="39"/>
  <c r="G421" i="39" s="1"/>
  <c r="G420" i="39"/>
  <c r="N182" i="39"/>
  <c r="N96" i="39"/>
  <c r="N95" i="39" s="1"/>
  <c r="N124" i="39"/>
  <c r="M161" i="39"/>
  <c r="M172" i="39" s="1"/>
  <c r="M147" i="39"/>
  <c r="G447" i="39"/>
  <c r="F355" i="39"/>
  <c r="H183" i="39"/>
  <c r="M183" i="39"/>
  <c r="I360" i="39"/>
  <c r="M338" i="39"/>
  <c r="J497" i="39"/>
  <c r="J489" i="39" s="1"/>
  <c r="J480" i="39"/>
  <c r="J471" i="39"/>
  <c r="I419" i="37"/>
  <c r="I309" i="37"/>
  <c r="M376" i="37"/>
  <c r="M377" i="37" s="1"/>
  <c r="M398" i="37" s="1"/>
  <c r="M376" i="39"/>
  <c r="M385" i="39" s="1"/>
  <c r="N409" i="39"/>
  <c r="N410" i="39" s="1"/>
  <c r="L260" i="38"/>
  <c r="L36" i="38" s="1"/>
  <c r="L56" i="38" s="1"/>
  <c r="K396" i="39"/>
  <c r="K130" i="38"/>
  <c r="K131" i="38" s="1"/>
  <c r="K71" i="38"/>
  <c r="G384" i="39"/>
  <c r="F370" i="39"/>
  <c r="J132" i="38"/>
  <c r="J79" i="38" s="1"/>
  <c r="J74" i="38"/>
  <c r="J75" i="38"/>
  <c r="J73" i="38"/>
  <c r="K275" i="38"/>
  <c r="K276" i="38"/>
  <c r="K223" i="38" s="1"/>
  <c r="H273" i="38"/>
  <c r="H274" i="38" s="1"/>
  <c r="K83" i="38"/>
  <c r="F45" i="38"/>
  <c r="F125" i="39"/>
  <c r="G171" i="39"/>
  <c r="F171" i="39" s="1"/>
  <c r="F157" i="39"/>
  <c r="J112" i="38"/>
  <c r="J234" i="38"/>
  <c r="F234" i="38" s="1"/>
  <c r="J114" i="38"/>
  <c r="F281" i="38"/>
  <c r="G281" i="38" s="1"/>
  <c r="F137" i="38"/>
  <c r="G137" i="38" s="1"/>
  <c r="K162" i="38"/>
  <c r="N158" i="37"/>
  <c r="N162" i="37" s="1"/>
  <c r="N183" i="37" s="1"/>
  <c r="H376" i="37"/>
  <c r="H379" i="37" s="1"/>
  <c r="H400" i="37" s="1"/>
  <c r="F141" i="37"/>
  <c r="G386" i="37"/>
  <c r="G407" i="37" s="1"/>
  <c r="F368" i="37"/>
  <c r="G387" i="37"/>
  <c r="G408" i="37" s="1"/>
  <c r="F369" i="37"/>
  <c r="G210" i="37"/>
  <c r="F210" i="37" s="1"/>
  <c r="F192" i="37"/>
  <c r="G411" i="39"/>
  <c r="G412" i="39" s="1"/>
  <c r="F412" i="39" s="1"/>
  <c r="L409" i="39"/>
  <c r="L410" i="39"/>
  <c r="P77" i="37"/>
  <c r="P80" i="37" s="1"/>
  <c r="P4" i="37" s="1"/>
  <c r="P67" i="37"/>
  <c r="P63" i="37"/>
  <c r="N333" i="37"/>
  <c r="F333" i="37" s="1"/>
  <c r="Q93" i="37"/>
  <c r="M358" i="37"/>
  <c r="I162" i="37"/>
  <c r="I183" i="37" s="1"/>
  <c r="O74" i="37"/>
  <c r="O75" i="37" s="1"/>
  <c r="O71" i="37"/>
  <c r="O93" i="37"/>
  <c r="F209" i="37"/>
  <c r="N93" i="37"/>
  <c r="K497" i="39"/>
  <c r="K489" i="39" s="1"/>
  <c r="K480" i="39"/>
  <c r="K471" i="39"/>
  <c r="G480" i="39"/>
  <c r="G471" i="39"/>
  <c r="G497" i="39"/>
  <c r="G489" i="39" s="1"/>
  <c r="F194" i="39"/>
  <c r="F216" i="39" s="1"/>
  <c r="G216" i="39" s="1"/>
  <c r="F318" i="38"/>
  <c r="F271" i="38"/>
  <c r="F290" i="38" s="1"/>
  <c r="G290" i="38" s="1"/>
  <c r="F258" i="38"/>
  <c r="I112" i="38"/>
  <c r="I234" i="38"/>
  <c r="I114" i="38"/>
  <c r="G158" i="37"/>
  <c r="G162" i="37" s="1"/>
  <c r="F142" i="37"/>
  <c r="O376" i="37"/>
  <c r="O377" i="37" s="1"/>
  <c r="O398" i="37" s="1"/>
  <c r="G204" i="37"/>
  <c r="F204" i="37" s="1"/>
  <c r="F186" i="37"/>
  <c r="F360" i="37"/>
  <c r="F347" i="37"/>
  <c r="P374" i="37"/>
  <c r="P378" i="37" s="1"/>
  <c r="P399" i="37" s="1"/>
  <c r="I77" i="37"/>
  <c r="I80" i="37" s="1"/>
  <c r="I4" i="37" s="1"/>
  <c r="I67" i="37"/>
  <c r="I63" i="37"/>
  <c r="Q106" i="37"/>
  <c r="P161" i="37"/>
  <c r="P182" i="37" s="1"/>
  <c r="O106" i="37"/>
  <c r="F191" i="37"/>
  <c r="N106" i="37"/>
  <c r="F338" i="39"/>
  <c r="K260" i="38"/>
  <c r="L75" i="38"/>
  <c r="L72" i="38" s="1"/>
  <c r="L73" i="38"/>
  <c r="L132" i="38"/>
  <c r="L79" i="38" s="1"/>
  <c r="L74" i="38"/>
  <c r="G40" i="38"/>
  <c r="F40" i="38" s="1"/>
  <c r="L273" i="38"/>
  <c r="L274" i="38" s="1"/>
  <c r="N183" i="39"/>
  <c r="J183" i="39"/>
  <c r="F350" i="39"/>
  <c r="K203" i="39"/>
  <c r="K112" i="39" s="1"/>
  <c r="K107" i="39"/>
  <c r="K106" i="39"/>
  <c r="J260" i="38"/>
  <c r="H71" i="38"/>
  <c r="H130" i="38"/>
  <c r="H131" i="38" s="1"/>
  <c r="G259" i="38"/>
  <c r="O419" i="37"/>
  <c r="O309" i="37"/>
  <c r="K161" i="39"/>
  <c r="K172" i="39" s="1"/>
  <c r="K147" i="39"/>
  <c r="G161" i="39"/>
  <c r="F148" i="39"/>
  <c r="G147" i="39"/>
  <c r="L130" i="38"/>
  <c r="L131" i="38" s="1"/>
  <c r="F133" i="38"/>
  <c r="G133" i="38" s="1"/>
  <c r="I73" i="38"/>
  <c r="I132" i="38"/>
  <c r="I79" i="38" s="1"/>
  <c r="I74" i="38"/>
  <c r="I75" i="38"/>
  <c r="P376" i="37"/>
  <c r="P377" i="37" s="1"/>
  <c r="P398" i="37" s="1"/>
  <c r="Q419" i="37"/>
  <c r="Q309" i="37"/>
  <c r="Q160" i="37"/>
  <c r="Q163" i="37" s="1"/>
  <c r="Q184" i="37" s="1"/>
  <c r="N67" i="37"/>
  <c r="N77" i="37"/>
  <c r="N80" i="37" s="1"/>
  <c r="N4" i="37" s="1"/>
  <c r="N63" i="37"/>
  <c r="Q67" i="37"/>
  <c r="Q63" i="37"/>
  <c r="Q77" i="37"/>
  <c r="Q80" i="37" s="1"/>
  <c r="Q4" i="37" s="1"/>
  <c r="N376" i="37"/>
  <c r="N379" i="37" s="1"/>
  <c r="N400" i="37" s="1"/>
  <c r="G374" i="37"/>
  <c r="G378" i="37" s="1"/>
  <c r="F364" i="37"/>
  <c r="G382" i="37"/>
  <c r="G403" i="37" s="1"/>
  <c r="F194" i="37"/>
  <c r="G214" i="37"/>
  <c r="F214" i="37" s="1"/>
  <c r="P419" i="37"/>
  <c r="P309" i="37"/>
  <c r="L374" i="39"/>
  <c r="H392" i="39"/>
  <c r="H361" i="39"/>
  <c r="O160" i="37"/>
  <c r="O163" i="37" s="1"/>
  <c r="O184" i="37" s="1"/>
  <c r="F348" i="37"/>
  <c r="P93" i="37"/>
  <c r="P203" i="37"/>
  <c r="P106" i="37" s="1"/>
  <c r="I106" i="37"/>
  <c r="M93" i="37"/>
  <c r="Q162" i="37"/>
  <c r="Q183" i="37" s="1"/>
  <c r="Q358" i="37"/>
  <c r="H93" i="37"/>
  <c r="F205" i="37"/>
  <c r="G93" i="37"/>
  <c r="I376" i="39"/>
  <c r="I385" i="39" s="1"/>
  <c r="J409" i="39"/>
  <c r="J410" i="39" s="1"/>
  <c r="M497" i="39"/>
  <c r="M489" i="39" s="1"/>
  <c r="M480" i="39"/>
  <c r="M471" i="39"/>
  <c r="I497" i="39"/>
  <c r="I489" i="39" s="1"/>
  <c r="I480" i="39"/>
  <c r="I471" i="39"/>
  <c r="F204" i="39"/>
  <c r="G204" i="39" s="1"/>
  <c r="G19" i="39" s="1"/>
  <c r="F19" i="39" s="1"/>
  <c r="F235" i="38"/>
  <c r="F129" i="38"/>
  <c r="H75" i="38"/>
  <c r="H73" i="38"/>
  <c r="H74" i="38"/>
  <c r="H132" i="38"/>
  <c r="H79" i="38" s="1"/>
  <c r="F54" i="39"/>
  <c r="F282" i="38"/>
  <c r="G282" i="38" s="1"/>
  <c r="F263" i="38"/>
  <c r="G263" i="38" s="1"/>
  <c r="F173" i="38"/>
  <c r="F135" i="38"/>
  <c r="G135" i="38" s="1"/>
  <c r="K243" i="39"/>
  <c r="K116" i="39" s="1"/>
  <c r="K257" i="38"/>
  <c r="H275" i="38"/>
  <c r="H276" i="38"/>
  <c r="H299" i="38" s="1"/>
  <c r="H419" i="37"/>
  <c r="H309" i="37"/>
  <c r="K196" i="39"/>
  <c r="K197" i="39" s="1"/>
  <c r="G196" i="39"/>
  <c r="G197" i="39" s="1"/>
  <c r="F179" i="39"/>
  <c r="L275" i="38"/>
  <c r="L276" i="38" s="1"/>
  <c r="L299" i="38" s="1"/>
  <c r="N309" i="37"/>
  <c r="N419" i="37"/>
  <c r="F279" i="38"/>
  <c r="G279" i="38" s="1"/>
  <c r="F115" i="38"/>
  <c r="G115" i="38" s="1"/>
  <c r="I260" i="38"/>
  <c r="G385" i="37"/>
  <c r="G406" i="37" s="1"/>
  <c r="F367" i="37"/>
  <c r="M419" i="37"/>
  <c r="M160" i="37"/>
  <c r="M163" i="37" s="1"/>
  <c r="M184" i="37" s="1"/>
  <c r="F361" i="37"/>
  <c r="M67" i="37"/>
  <c r="M63" i="37"/>
  <c r="M77" i="37"/>
  <c r="M80" i="37" s="1"/>
  <c r="M4" i="37" s="1"/>
  <c r="G380" i="37"/>
  <c r="G401" i="37" s="1"/>
  <c r="F362" i="37"/>
  <c r="G381" i="37"/>
  <c r="G402" i="37" s="1"/>
  <c r="F363" i="37"/>
  <c r="F370" i="37"/>
  <c r="G388" i="37"/>
  <c r="G409" i="37" s="1"/>
  <c r="I357" i="37"/>
  <c r="K376" i="39"/>
  <c r="F193" i="37"/>
  <c r="G211" i="37"/>
  <c r="F211" i="37" s="1"/>
  <c r="H160" i="37"/>
  <c r="H163" i="37" s="1"/>
  <c r="H184" i="37" s="1"/>
  <c r="G184" i="37"/>
  <c r="I93" i="37"/>
  <c r="M106" i="37"/>
  <c r="H106" i="37"/>
  <c r="F187" i="37"/>
  <c r="C5" i="1"/>
  <c r="M25" i="1"/>
  <c r="I29" i="1"/>
  <c r="I31" i="1"/>
  <c r="I33" i="1"/>
  <c r="I34" i="1"/>
  <c r="I35" i="1"/>
  <c r="I36" i="1"/>
  <c r="I37" i="1"/>
  <c r="I38" i="1"/>
  <c r="I39" i="1"/>
  <c r="I40" i="1"/>
  <c r="I41" i="1"/>
  <c r="I42" i="1"/>
  <c r="I43" i="1"/>
  <c r="I44" i="1"/>
  <c r="I46" i="1"/>
  <c r="J47" i="1"/>
  <c r="K47" i="1"/>
  <c r="L47" i="1"/>
  <c r="M48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J70" i="1"/>
  <c r="K70" i="1"/>
  <c r="L70" i="1"/>
  <c r="M71" i="1"/>
  <c r="I75" i="1"/>
  <c r="I77" i="1"/>
  <c r="I78" i="1"/>
  <c r="I79" i="1"/>
  <c r="I80" i="1"/>
  <c r="I81" i="1"/>
  <c r="I82" i="1"/>
  <c r="I84" i="1"/>
  <c r="I85" i="1"/>
  <c r="I86" i="1"/>
  <c r="I87" i="1"/>
  <c r="I88" i="1"/>
  <c r="I89" i="1"/>
  <c r="I90" i="1"/>
  <c r="I91" i="1"/>
  <c r="I92" i="1"/>
  <c r="F47" i="39" l="1"/>
  <c r="H273" i="41"/>
  <c r="H274" i="41" s="1"/>
  <c r="H160" i="41" s="1"/>
  <c r="M273" i="41"/>
  <c r="M274" i="41" s="1"/>
  <c r="G419" i="39"/>
  <c r="M309" i="37"/>
  <c r="G264" i="41"/>
  <c r="G265" i="41" s="1"/>
  <c r="G158" i="41" s="1"/>
  <c r="K299" i="38"/>
  <c r="J360" i="39"/>
  <c r="L216" i="38"/>
  <c r="I162" i="38"/>
  <c r="N418" i="41"/>
  <c r="M264" i="41"/>
  <c r="M265" i="41" s="1"/>
  <c r="F362" i="39"/>
  <c r="F384" i="39"/>
  <c r="M418" i="41"/>
  <c r="K54" i="37"/>
  <c r="N360" i="39"/>
  <c r="F147" i="39"/>
  <c r="J172" i="38"/>
  <c r="J83" i="38" s="1"/>
  <c r="F393" i="39"/>
  <c r="H36" i="38"/>
  <c r="H56" i="38" s="1"/>
  <c r="L273" i="41"/>
  <c r="L274" i="41" s="1"/>
  <c r="F203" i="37"/>
  <c r="J174" i="37"/>
  <c r="J97" i="37" s="1"/>
  <c r="J96" i="37" s="1"/>
  <c r="J91" i="37" s="1"/>
  <c r="J180" i="37" s="1"/>
  <c r="H172" i="38"/>
  <c r="H83" i="38" s="1"/>
  <c r="I70" i="1"/>
  <c r="I7" i="1" s="1"/>
  <c r="I45" i="1"/>
  <c r="G22" i="41" s="1"/>
  <c r="M390" i="40"/>
  <c r="M16" i="40" s="1"/>
  <c r="M17" i="40" s="1"/>
  <c r="M417" i="40"/>
  <c r="M49" i="40" s="1"/>
  <c r="N418" i="40"/>
  <c r="N50" i="40" s="1"/>
  <c r="H74" i="37"/>
  <c r="H75" i="37" s="1"/>
  <c r="H76" i="37" s="1"/>
  <c r="H78" i="37" s="1"/>
  <c r="N390" i="41"/>
  <c r="N313" i="41" s="1"/>
  <c r="N312" i="41" s="1"/>
  <c r="N307" i="41" s="1"/>
  <c r="I379" i="37"/>
  <c r="I400" i="37" s="1"/>
  <c r="J390" i="37"/>
  <c r="L174" i="37"/>
  <c r="L97" i="37" s="1"/>
  <c r="L96" i="37" s="1"/>
  <c r="L91" i="37" s="1"/>
  <c r="L180" i="37" s="1"/>
  <c r="K375" i="37"/>
  <c r="K390" i="37" s="1"/>
  <c r="J418" i="37"/>
  <c r="J50" i="37" s="1"/>
  <c r="L202" i="37"/>
  <c r="O379" i="37"/>
  <c r="O400" i="37" s="1"/>
  <c r="J79" i="37"/>
  <c r="J76" i="37"/>
  <c r="J78" i="37" s="1"/>
  <c r="G106" i="37"/>
  <c r="F106" i="37" s="1"/>
  <c r="L272" i="37"/>
  <c r="K271" i="37"/>
  <c r="J270" i="37"/>
  <c r="L268" i="37"/>
  <c r="L263" i="37"/>
  <c r="K262" i="37"/>
  <c r="J261" i="37"/>
  <c r="L259" i="37"/>
  <c r="K272" i="37"/>
  <c r="J271" i="37"/>
  <c r="L269" i="37"/>
  <c r="K268" i="37"/>
  <c r="K263" i="37"/>
  <c r="J262" i="37"/>
  <c r="L260" i="37"/>
  <c r="K259" i="37"/>
  <c r="J272" i="37"/>
  <c r="L270" i="37"/>
  <c r="K269" i="37"/>
  <c r="J268" i="37"/>
  <c r="J263" i="37"/>
  <c r="L261" i="37"/>
  <c r="K260" i="37"/>
  <c r="J259" i="37"/>
  <c r="L271" i="37"/>
  <c r="L262" i="37"/>
  <c r="K270" i="37"/>
  <c r="K261" i="37"/>
  <c r="K264" i="37" s="1"/>
  <c r="K265" i="37" s="1"/>
  <c r="J269" i="37"/>
  <c r="J260" i="37"/>
  <c r="J48" i="37"/>
  <c r="Q161" i="37"/>
  <c r="Q182" i="37" s="1"/>
  <c r="Q199" i="37" s="1"/>
  <c r="Q200" i="37" s="1"/>
  <c r="L375" i="37"/>
  <c r="L54" i="37"/>
  <c r="F208" i="37"/>
  <c r="K415" i="37"/>
  <c r="K418" i="37" s="1"/>
  <c r="K50" i="37" s="1"/>
  <c r="K79" i="37"/>
  <c r="K76" i="37"/>
  <c r="K78" i="37" s="1"/>
  <c r="K180" i="37"/>
  <c r="N200" i="37"/>
  <c r="Q379" i="37"/>
  <c r="Q400" i="37" s="1"/>
  <c r="I378" i="37"/>
  <c r="I399" i="37" s="1"/>
  <c r="M161" i="37"/>
  <c r="M182" i="37" s="1"/>
  <c r="M199" i="37" s="1"/>
  <c r="M200" i="37" s="1"/>
  <c r="G375" i="37"/>
  <c r="P174" i="37"/>
  <c r="P97" i="37" s="1"/>
  <c r="P96" i="37" s="1"/>
  <c r="P91" i="37" s="1"/>
  <c r="P180" i="37" s="1"/>
  <c r="P379" i="37"/>
  <c r="P400" i="37" s="1"/>
  <c r="M379" i="37"/>
  <c r="M400" i="37" s="1"/>
  <c r="N377" i="37"/>
  <c r="N398" i="37" s="1"/>
  <c r="P375" i="37"/>
  <c r="P397" i="37" s="1"/>
  <c r="P413" i="37" s="1"/>
  <c r="P417" i="37" s="1"/>
  <c r="P49" i="37" s="1"/>
  <c r="M215" i="40"/>
  <c r="M216" i="40" s="1"/>
  <c r="M249" i="40" s="1"/>
  <c r="M252" i="40" s="1"/>
  <c r="L181" i="40"/>
  <c r="J48" i="40"/>
  <c r="I264" i="40"/>
  <c r="I265" i="40" s="1"/>
  <c r="N264" i="40"/>
  <c r="N265" i="40" s="1"/>
  <c r="G264" i="40"/>
  <c r="G265" i="40" s="1"/>
  <c r="G273" i="40"/>
  <c r="G274" i="40" s="1"/>
  <c r="G160" i="40" s="1"/>
  <c r="G163" i="40" s="1"/>
  <c r="G184" i="40" s="1"/>
  <c r="J418" i="40"/>
  <c r="J50" i="40" s="1"/>
  <c r="J273" i="40"/>
  <c r="J274" i="40" s="1"/>
  <c r="K273" i="40"/>
  <c r="K274" i="40" s="1"/>
  <c r="L264" i="40"/>
  <c r="L265" i="40" s="1"/>
  <c r="H417" i="40"/>
  <c r="J215" i="40"/>
  <c r="J216" i="40" s="1"/>
  <c r="J249" i="40" s="1"/>
  <c r="J252" i="40" s="1"/>
  <c r="L273" i="40"/>
  <c r="L274" i="40" s="1"/>
  <c r="K418" i="40"/>
  <c r="H264" i="40"/>
  <c r="H265" i="40" s="1"/>
  <c r="M273" i="40"/>
  <c r="M274" i="40" s="1"/>
  <c r="J105" i="40"/>
  <c r="J104" i="40" s="1"/>
  <c r="J103" i="40" s="1"/>
  <c r="M264" i="40"/>
  <c r="M265" i="40" s="1"/>
  <c r="J264" i="40"/>
  <c r="J265" i="40" s="1"/>
  <c r="K264" i="40"/>
  <c r="K265" i="40" s="1"/>
  <c r="M414" i="40"/>
  <c r="M47" i="40" s="1"/>
  <c r="N375" i="40"/>
  <c r="N390" i="40" s="1"/>
  <c r="I273" i="40"/>
  <c r="I274" i="40" s="1"/>
  <c r="I160" i="40" s="1"/>
  <c r="N273" i="40"/>
  <c r="N274" i="40" s="1"/>
  <c r="K375" i="40"/>
  <c r="K397" i="40" s="1"/>
  <c r="H273" i="40"/>
  <c r="H274" i="40" s="1"/>
  <c r="H160" i="40" s="1"/>
  <c r="J264" i="41"/>
  <c r="J265" i="41" s="1"/>
  <c r="M174" i="41"/>
  <c r="M97" i="41" s="1"/>
  <c r="M96" i="41" s="1"/>
  <c r="M91" i="41" s="1"/>
  <c r="M180" i="41" s="1"/>
  <c r="M390" i="41"/>
  <c r="N264" i="41"/>
  <c r="N265" i="41" s="1"/>
  <c r="N273" i="41"/>
  <c r="N274" i="41" s="1"/>
  <c r="G161" i="41"/>
  <c r="G182" i="41" s="1"/>
  <c r="K163" i="41"/>
  <c r="K184" i="41" s="1"/>
  <c r="K161" i="41"/>
  <c r="K182" i="41" s="1"/>
  <c r="J161" i="41"/>
  <c r="J182" i="41" s="1"/>
  <c r="J163" i="41"/>
  <c r="J184" i="41" s="1"/>
  <c r="H161" i="41"/>
  <c r="H182" i="41" s="1"/>
  <c r="H163" i="41"/>
  <c r="H174" i="41" s="1"/>
  <c r="H97" i="41" s="1"/>
  <c r="H96" i="41" s="1"/>
  <c r="H91" i="41" s="1"/>
  <c r="H180" i="41" s="1"/>
  <c r="I161" i="41"/>
  <c r="I182" i="41" s="1"/>
  <c r="M200" i="41"/>
  <c r="M202" i="41"/>
  <c r="G162" i="41"/>
  <c r="G159" i="41"/>
  <c r="G181" i="41" s="1"/>
  <c r="N50" i="41"/>
  <c r="M417" i="41"/>
  <c r="H375" i="41"/>
  <c r="I375" i="41"/>
  <c r="I397" i="41" s="1"/>
  <c r="M416" i="41"/>
  <c r="H181" i="41"/>
  <c r="K6" i="41"/>
  <c r="K81" i="41"/>
  <c r="K5" i="41" s="1"/>
  <c r="F421" i="41"/>
  <c r="F53" i="41" s="1"/>
  <c r="G53" i="41"/>
  <c r="N413" i="41"/>
  <c r="N417" i="41" s="1"/>
  <c r="J181" i="41"/>
  <c r="L414" i="41"/>
  <c r="I6" i="41"/>
  <c r="I81" i="41"/>
  <c r="I5" i="41" s="1"/>
  <c r="J79" i="41"/>
  <c r="J76" i="41"/>
  <c r="J78" i="41" s="1"/>
  <c r="N416" i="41"/>
  <c r="N48" i="41" s="1"/>
  <c r="L376" i="41"/>
  <c r="L379" i="41" s="1"/>
  <c r="N79" i="41"/>
  <c r="N76" i="41"/>
  <c r="N78" i="41" s="1"/>
  <c r="F430" i="41"/>
  <c r="F58" i="41" s="1"/>
  <c r="G58" i="41"/>
  <c r="L174" i="41"/>
  <c r="L97" i="41" s="1"/>
  <c r="L96" i="41" s="1"/>
  <c r="L91" i="41" s="1"/>
  <c r="L181" i="41"/>
  <c r="H4" i="41"/>
  <c r="F420" i="41"/>
  <c r="F52" i="41" s="1"/>
  <c r="G52" i="41"/>
  <c r="F419" i="41"/>
  <c r="F51" i="41" s="1"/>
  <c r="G322" i="41"/>
  <c r="F322" i="41" s="1"/>
  <c r="G51" i="41"/>
  <c r="M197" i="41"/>
  <c r="M201" i="41" s="1"/>
  <c r="N174" i="41"/>
  <c r="N97" i="41" s="1"/>
  <c r="N96" i="41" s="1"/>
  <c r="N91" i="41" s="1"/>
  <c r="N181" i="41"/>
  <c r="L79" i="41"/>
  <c r="L76" i="41"/>
  <c r="L78" i="41" s="1"/>
  <c r="M6" i="41"/>
  <c r="M81" i="41"/>
  <c r="M5" i="41" s="1"/>
  <c r="F424" i="41"/>
  <c r="F54" i="41" s="1"/>
  <c r="G54" i="41"/>
  <c r="H79" i="41"/>
  <c r="H76" i="41"/>
  <c r="H78" i="41" s="1"/>
  <c r="F159" i="40"/>
  <c r="G181" i="40"/>
  <c r="I76" i="40"/>
  <c r="I78" i="40" s="1"/>
  <c r="I79" i="40"/>
  <c r="F420" i="40"/>
  <c r="F52" i="40" s="1"/>
  <c r="G52" i="40"/>
  <c r="L415" i="40"/>
  <c r="L418" i="40" s="1"/>
  <c r="L50" i="40" s="1"/>
  <c r="M105" i="40"/>
  <c r="M104" i="40" s="1"/>
  <c r="M103" i="40" s="1"/>
  <c r="H197" i="40"/>
  <c r="H201" i="40" s="1"/>
  <c r="J81" i="40"/>
  <c r="J5" i="40" s="1"/>
  <c r="J6" i="40"/>
  <c r="J222" i="40"/>
  <c r="J227" i="40" s="1"/>
  <c r="F183" i="40"/>
  <c r="N81" i="40"/>
  <c r="N5" i="40" s="1"/>
  <c r="N6" i="40"/>
  <c r="K182" i="40"/>
  <c r="K174" i="40"/>
  <c r="K97" i="40" s="1"/>
  <c r="K96" i="40" s="1"/>
  <c r="K91" i="40" s="1"/>
  <c r="M418" i="40"/>
  <c r="M50" i="40" s="1"/>
  <c r="J375" i="40"/>
  <c r="M76" i="40"/>
  <c r="M78" i="40" s="1"/>
  <c r="M79" i="40"/>
  <c r="F430" i="40"/>
  <c r="F58" i="40" s="1"/>
  <c r="G58" i="40"/>
  <c r="L197" i="40"/>
  <c r="L201" i="40" s="1"/>
  <c r="L375" i="40"/>
  <c r="K198" i="40"/>
  <c r="F399" i="40"/>
  <c r="I413" i="40"/>
  <c r="I417" i="40" s="1"/>
  <c r="I49" i="40" s="1"/>
  <c r="N198" i="40"/>
  <c r="F424" i="40"/>
  <c r="F54" i="40" s="1"/>
  <c r="G54" i="40"/>
  <c r="F421" i="40"/>
  <c r="F53" i="40" s="1"/>
  <c r="G53" i="40"/>
  <c r="L180" i="40"/>
  <c r="F427" i="40"/>
  <c r="F57" i="40" s="1"/>
  <c r="G57" i="40"/>
  <c r="I198" i="40"/>
  <c r="F419" i="40"/>
  <c r="F51" i="40" s="1"/>
  <c r="G322" i="40"/>
  <c r="F322" i="40" s="1"/>
  <c r="G51" i="40"/>
  <c r="K76" i="40"/>
  <c r="K78" i="40" s="1"/>
  <c r="K79" i="40"/>
  <c r="F106" i="40"/>
  <c r="F378" i="40"/>
  <c r="H81" i="40"/>
  <c r="H5" i="40" s="1"/>
  <c r="H6" i="40"/>
  <c r="L81" i="40"/>
  <c r="L5" i="40" s="1"/>
  <c r="L6" i="40"/>
  <c r="H147" i="38"/>
  <c r="H38" i="38"/>
  <c r="H78" i="38"/>
  <c r="H77" i="38" s="1"/>
  <c r="H154" i="38"/>
  <c r="M395" i="39"/>
  <c r="M309" i="39"/>
  <c r="M49" i="39"/>
  <c r="M50" i="39" s="1"/>
  <c r="M337" i="39"/>
  <c r="I415" i="37"/>
  <c r="I416" i="37" s="1"/>
  <c r="M415" i="37"/>
  <c r="M416" i="37" s="1"/>
  <c r="I397" i="37"/>
  <c r="F197" i="39"/>
  <c r="G399" i="37"/>
  <c r="L38" i="38"/>
  <c r="L154" i="38"/>
  <c r="L78" i="38"/>
  <c r="L77" i="38" s="1"/>
  <c r="L147" i="38"/>
  <c r="L148" i="38" s="1"/>
  <c r="L153" i="38" s="1"/>
  <c r="O415" i="37"/>
  <c r="O416" i="37" s="1"/>
  <c r="I395" i="39"/>
  <c r="I309" i="39"/>
  <c r="I49" i="39"/>
  <c r="I50" i="39" s="1"/>
  <c r="I337" i="39"/>
  <c r="P415" i="37"/>
  <c r="P416" i="37" s="1"/>
  <c r="L223" i="38"/>
  <c r="F274" i="38"/>
  <c r="K154" i="38"/>
  <c r="K147" i="38"/>
  <c r="K148" i="38" s="1"/>
  <c r="K153" i="38" s="1"/>
  <c r="K78" i="38"/>
  <c r="K77" i="38" s="1"/>
  <c r="K38" i="38"/>
  <c r="G420" i="37"/>
  <c r="F402" i="37"/>
  <c r="G424" i="37"/>
  <c r="F406" i="37"/>
  <c r="F163" i="37"/>
  <c r="F409" i="37"/>
  <c r="G427" i="37"/>
  <c r="I219" i="38"/>
  <c r="I220" i="38"/>
  <c r="I14" i="38" s="1"/>
  <c r="I218" i="38"/>
  <c r="I277" i="38"/>
  <c r="I317" i="38" s="1"/>
  <c r="I228" i="38" s="1"/>
  <c r="Q374" i="37"/>
  <c r="Q378" i="37" s="1"/>
  <c r="Q399" i="37" s="1"/>
  <c r="L385" i="39"/>
  <c r="L45" i="39"/>
  <c r="P322" i="37"/>
  <c r="P51" i="37"/>
  <c r="F403" i="37"/>
  <c r="G421" i="37"/>
  <c r="N71" i="37"/>
  <c r="N74" i="37"/>
  <c r="N75" i="37" s="1"/>
  <c r="F161" i="39"/>
  <c r="O322" i="37"/>
  <c r="O51" i="37"/>
  <c r="H148" i="38"/>
  <c r="H153" i="38" s="1"/>
  <c r="H72" i="38"/>
  <c r="L60" i="38"/>
  <c r="L57" i="38"/>
  <c r="F396" i="39"/>
  <c r="P199" i="37"/>
  <c r="P202" i="37" s="1"/>
  <c r="I74" i="37"/>
  <c r="I75" i="37" s="1"/>
  <c r="I71" i="37"/>
  <c r="P198" i="37"/>
  <c r="G159" i="37"/>
  <c r="M374" i="37"/>
  <c r="M378" i="37" s="1"/>
  <c r="M399" i="37" s="1"/>
  <c r="H375" i="37"/>
  <c r="H58" i="38"/>
  <c r="H61" i="38" s="1"/>
  <c r="H4" i="38" s="1"/>
  <c r="K72" i="38"/>
  <c r="M203" i="39"/>
  <c r="M107" i="39"/>
  <c r="M106" i="39"/>
  <c r="M182" i="39"/>
  <c r="M96" i="39"/>
  <c r="M95" i="39" s="1"/>
  <c r="M124" i="39"/>
  <c r="F112" i="38"/>
  <c r="G374" i="39"/>
  <c r="F361" i="39"/>
  <c r="G360" i="39"/>
  <c r="I200" i="39"/>
  <c r="I201" i="39" s="1"/>
  <c r="I108" i="39"/>
  <c r="I203" i="39"/>
  <c r="I107" i="39"/>
  <c r="I106" i="39"/>
  <c r="H416" i="39"/>
  <c r="H456" i="39" s="1"/>
  <c r="H329" i="39" s="1"/>
  <c r="H320" i="39"/>
  <c r="H319" i="39"/>
  <c r="H161" i="37"/>
  <c r="G202" i="37"/>
  <c r="F184" i="37"/>
  <c r="G419" i="37"/>
  <c r="F401" i="37"/>
  <c r="M71" i="37"/>
  <c r="M74" i="37"/>
  <c r="M75" i="37" s="1"/>
  <c r="M322" i="37"/>
  <c r="M51" i="37"/>
  <c r="N322" i="37"/>
  <c r="N51" i="37"/>
  <c r="H162" i="38"/>
  <c r="H374" i="39"/>
  <c r="H360" i="39"/>
  <c r="Q71" i="37"/>
  <c r="Q74" i="37"/>
  <c r="Q75" i="37" s="1"/>
  <c r="J219" i="38"/>
  <c r="J220" i="38"/>
  <c r="J14" i="38" s="1"/>
  <c r="J277" i="38"/>
  <c r="J218" i="38"/>
  <c r="J307" i="38"/>
  <c r="N203" i="39"/>
  <c r="N106" i="39"/>
  <c r="N107" i="39"/>
  <c r="L172" i="38"/>
  <c r="L83" i="38" s="1"/>
  <c r="L162" i="38"/>
  <c r="O79" i="37"/>
  <c r="O76" i="37"/>
  <c r="O78" i="37" s="1"/>
  <c r="P71" i="37"/>
  <c r="P74" i="37"/>
  <c r="P75" i="37" s="1"/>
  <c r="G426" i="37"/>
  <c r="F426" i="37" s="1"/>
  <c r="F408" i="37"/>
  <c r="I200" i="37"/>
  <c r="H377" i="37"/>
  <c r="H398" i="37" s="1"/>
  <c r="J162" i="38"/>
  <c r="M396" i="39"/>
  <c r="I45" i="39"/>
  <c r="N178" i="39"/>
  <c r="O198" i="37"/>
  <c r="J385" i="39"/>
  <c r="J45" i="39"/>
  <c r="J416" i="39"/>
  <c r="J319" i="39"/>
  <c r="J320" i="39"/>
  <c r="I104" i="39"/>
  <c r="I174" i="37"/>
  <c r="I97" i="37" s="1"/>
  <c r="I96" i="37" s="1"/>
  <c r="I91" i="37" s="1"/>
  <c r="H182" i="39"/>
  <c r="H96" i="39"/>
  <c r="H95" i="39" s="1"/>
  <c r="H124" i="39"/>
  <c r="K374" i="39"/>
  <c r="K360" i="39"/>
  <c r="J200" i="39"/>
  <c r="J201" i="39" s="1"/>
  <c r="J108" i="39"/>
  <c r="J104" i="39"/>
  <c r="G74" i="38"/>
  <c r="G75" i="38"/>
  <c r="F75" i="38" s="1"/>
  <c r="G73" i="38"/>
  <c r="H322" i="37"/>
  <c r="H51" i="37"/>
  <c r="F280" i="38"/>
  <c r="G280" i="38" s="1"/>
  <c r="N476" i="39"/>
  <c r="J476" i="39"/>
  <c r="N475" i="39"/>
  <c r="J475" i="39"/>
  <c r="N474" i="39"/>
  <c r="J474" i="39"/>
  <c r="N473" i="39"/>
  <c r="J473" i="39"/>
  <c r="M476" i="39"/>
  <c r="I476" i="39"/>
  <c r="M475" i="39"/>
  <c r="I475" i="39"/>
  <c r="M474" i="39"/>
  <c r="I474" i="39"/>
  <c r="M473" i="39"/>
  <c r="I473" i="39"/>
  <c r="L476" i="39"/>
  <c r="H476" i="39"/>
  <c r="L475" i="39"/>
  <c r="H475" i="39"/>
  <c r="L474" i="39"/>
  <c r="H474" i="39"/>
  <c r="L473" i="39"/>
  <c r="H473" i="39"/>
  <c r="G475" i="39"/>
  <c r="G473" i="39"/>
  <c r="K476" i="39"/>
  <c r="K474" i="39"/>
  <c r="G476" i="39"/>
  <c r="G474" i="39"/>
  <c r="K475" i="39"/>
  <c r="K473" i="39"/>
  <c r="M272" i="39"/>
  <c r="I272" i="39"/>
  <c r="M271" i="39"/>
  <c r="I271" i="39"/>
  <c r="M270" i="39"/>
  <c r="I270" i="39"/>
  <c r="M269" i="39"/>
  <c r="I269" i="39"/>
  <c r="M268" i="39"/>
  <c r="M273" i="39" s="1"/>
  <c r="M274" i="39" s="1"/>
  <c r="I268" i="39"/>
  <c r="M263" i="39"/>
  <c r="I263" i="39"/>
  <c r="M262" i="39"/>
  <c r="I262" i="39"/>
  <c r="M261" i="39"/>
  <c r="I261" i="39"/>
  <c r="M260" i="39"/>
  <c r="I260" i="39"/>
  <c r="M259" i="39"/>
  <c r="I259" i="39"/>
  <c r="I477" i="39" s="1"/>
  <c r="I478" i="39" s="1"/>
  <c r="L272" i="39"/>
  <c r="H272" i="39"/>
  <c r="L271" i="39"/>
  <c r="H271" i="39"/>
  <c r="L270" i="39"/>
  <c r="H270" i="39"/>
  <c r="L269" i="39"/>
  <c r="H269" i="39"/>
  <c r="L268" i="39"/>
  <c r="H268" i="39"/>
  <c r="L263" i="39"/>
  <c r="H263" i="39"/>
  <c r="L262" i="39"/>
  <c r="H262" i="39"/>
  <c r="L261" i="39"/>
  <c r="H261" i="39"/>
  <c r="L260" i="39"/>
  <c r="H260" i="39"/>
  <c r="L259" i="39"/>
  <c r="H259" i="39"/>
  <c r="K272" i="39"/>
  <c r="G272" i="39"/>
  <c r="K271" i="39"/>
  <c r="G271" i="39"/>
  <c r="K270" i="39"/>
  <c r="G270" i="39"/>
  <c r="K269" i="39"/>
  <c r="G269" i="39"/>
  <c r="G273" i="39" s="1"/>
  <c r="G274" i="39" s="1"/>
  <c r="G162" i="39" s="1"/>
  <c r="K268" i="39"/>
  <c r="K486" i="39" s="1"/>
  <c r="K487" i="39" s="1"/>
  <c r="G268" i="39"/>
  <c r="K263" i="39"/>
  <c r="G263" i="39"/>
  <c r="K262" i="39"/>
  <c r="G262" i="39"/>
  <c r="K261" i="39"/>
  <c r="G261" i="39"/>
  <c r="K260" i="39"/>
  <c r="G260" i="39"/>
  <c r="K259" i="39"/>
  <c r="G259" i="39"/>
  <c r="N272" i="39"/>
  <c r="N270" i="39"/>
  <c r="N268" i="39"/>
  <c r="N262" i="39"/>
  <c r="N260" i="39"/>
  <c r="J272" i="39"/>
  <c r="J270" i="39"/>
  <c r="J268" i="39"/>
  <c r="J486" i="39" s="1"/>
  <c r="J487" i="39" s="1"/>
  <c r="J262" i="39"/>
  <c r="J260" i="39"/>
  <c r="N271" i="39"/>
  <c r="N269" i="39"/>
  <c r="N263" i="39"/>
  <c r="N261" i="39"/>
  <c r="N259" i="39"/>
  <c r="J263" i="39"/>
  <c r="J271" i="39"/>
  <c r="J261" i="39"/>
  <c r="J269" i="39"/>
  <c r="J259" i="39"/>
  <c r="K124" i="39"/>
  <c r="K182" i="39"/>
  <c r="K96" i="39"/>
  <c r="K95" i="39" s="1"/>
  <c r="L58" i="38"/>
  <c r="L61" i="38" s="1"/>
  <c r="L4" i="38" s="1"/>
  <c r="K220" i="38"/>
  <c r="K14" i="38" s="1"/>
  <c r="K277" i="38"/>
  <c r="K317" i="38" s="1"/>
  <c r="K228" i="38" s="1"/>
  <c r="K218" i="38"/>
  <c r="K219" i="38"/>
  <c r="K216" i="38"/>
  <c r="G183" i="37"/>
  <c r="F162" i="37"/>
  <c r="I130" i="38"/>
  <c r="I131" i="38" s="1"/>
  <c r="I71" i="38"/>
  <c r="G71" i="38"/>
  <c r="N358" i="37"/>
  <c r="N357" i="37"/>
  <c r="N159" i="37"/>
  <c r="J130" i="38"/>
  <c r="J71" i="38"/>
  <c r="J131" i="38"/>
  <c r="J154" i="38" s="1"/>
  <c r="H60" i="38"/>
  <c r="H57" i="38"/>
  <c r="H59" i="38" s="1"/>
  <c r="K36" i="38"/>
  <c r="K56" i="38" s="1"/>
  <c r="L277" i="38"/>
  <c r="L307" i="38" s="1"/>
  <c r="L218" i="38"/>
  <c r="L219" i="38"/>
  <c r="L220" i="38"/>
  <c r="L14" i="38" s="1"/>
  <c r="I322" i="37"/>
  <c r="I51" i="37"/>
  <c r="G457" i="39"/>
  <c r="F457" i="39" s="1"/>
  <c r="F447" i="39"/>
  <c r="F392" i="39"/>
  <c r="G409" i="39"/>
  <c r="G410" i="39" s="1"/>
  <c r="L203" i="39"/>
  <c r="L107" i="39"/>
  <c r="L106" i="39"/>
  <c r="L182" i="39"/>
  <c r="L96" i="39"/>
  <c r="L95" i="39" s="1"/>
  <c r="L124" i="39"/>
  <c r="I178" i="39"/>
  <c r="Q197" i="37"/>
  <c r="Q201" i="37" s="1"/>
  <c r="M45" i="39"/>
  <c r="K409" i="39"/>
  <c r="K410" i="39" s="1"/>
  <c r="J178" i="39"/>
  <c r="F132" i="38"/>
  <c r="G132" i="38" s="1"/>
  <c r="G79" i="38" s="1"/>
  <c r="F79" i="38" s="1"/>
  <c r="F260" i="38"/>
  <c r="G260" i="38" s="1"/>
  <c r="O161" i="37"/>
  <c r="H409" i="39"/>
  <c r="H410" i="39" s="1"/>
  <c r="Q322" i="37"/>
  <c r="Q51" i="37"/>
  <c r="G36" i="38"/>
  <c r="J106" i="39"/>
  <c r="J107" i="39"/>
  <c r="J203" i="39"/>
  <c r="J112" i="39" s="1"/>
  <c r="Q415" i="37"/>
  <c r="I257" i="38"/>
  <c r="I259" i="38"/>
  <c r="F114" i="38"/>
  <c r="F407" i="37"/>
  <c r="G425" i="37"/>
  <c r="F425" i="37" s="1"/>
  <c r="O272" i="37"/>
  <c r="H272" i="37"/>
  <c r="O271" i="37"/>
  <c r="H271" i="37"/>
  <c r="O270" i="37"/>
  <c r="H270" i="37"/>
  <c r="O269" i="37"/>
  <c r="H269" i="37"/>
  <c r="O268" i="37"/>
  <c r="H268" i="37"/>
  <c r="O263" i="37"/>
  <c r="H263" i="37"/>
  <c r="O262" i="37"/>
  <c r="H262" i="37"/>
  <c r="O261" i="37"/>
  <c r="H261" i="37"/>
  <c r="O260" i="37"/>
  <c r="H260" i="37"/>
  <c r="O259" i="37"/>
  <c r="H259" i="37"/>
  <c r="N272" i="37"/>
  <c r="G272" i="37"/>
  <c r="N271" i="37"/>
  <c r="G271" i="37"/>
  <c r="N270" i="37"/>
  <c r="G270" i="37"/>
  <c r="N269" i="37"/>
  <c r="G269" i="37"/>
  <c r="N268" i="37"/>
  <c r="G268" i="37"/>
  <c r="N263" i="37"/>
  <c r="G263" i="37"/>
  <c r="N262" i="37"/>
  <c r="G262" i="37"/>
  <c r="N261" i="37"/>
  <c r="G261" i="37"/>
  <c r="N260" i="37"/>
  <c r="G260" i="37"/>
  <c r="N259" i="37"/>
  <c r="G259" i="37"/>
  <c r="Q272" i="37"/>
  <c r="M272" i="37"/>
  <c r="Q271" i="37"/>
  <c r="M271" i="37"/>
  <c r="Q270" i="37"/>
  <c r="M270" i="37"/>
  <c r="Q269" i="37"/>
  <c r="M269" i="37"/>
  <c r="Q268" i="37"/>
  <c r="M268" i="37"/>
  <c r="Q263" i="37"/>
  <c r="M263" i="37"/>
  <c r="Q262" i="37"/>
  <c r="M262" i="37"/>
  <c r="Q261" i="37"/>
  <c r="M261" i="37"/>
  <c r="Q260" i="37"/>
  <c r="M260" i="37"/>
  <c r="Q259" i="37"/>
  <c r="M259" i="37"/>
  <c r="P271" i="37"/>
  <c r="P269" i="37"/>
  <c r="P263" i="37"/>
  <c r="P261" i="37"/>
  <c r="P259" i="37"/>
  <c r="I272" i="37"/>
  <c r="I271" i="37"/>
  <c r="I269" i="37"/>
  <c r="I263" i="37"/>
  <c r="I261" i="37"/>
  <c r="I259" i="37"/>
  <c r="I270" i="37"/>
  <c r="I262" i="37"/>
  <c r="P272" i="37"/>
  <c r="P270" i="37"/>
  <c r="P268" i="37"/>
  <c r="P262" i="37"/>
  <c r="P260" i="37"/>
  <c r="I268" i="37"/>
  <c r="I260" i="37"/>
  <c r="J259" i="38"/>
  <c r="J257" i="38"/>
  <c r="F183" i="39"/>
  <c r="G183" i="39" s="1"/>
  <c r="H223" i="38"/>
  <c r="K416" i="39"/>
  <c r="K320" i="39"/>
  <c r="K319" i="39"/>
  <c r="I172" i="38"/>
  <c r="I83" i="38" s="1"/>
  <c r="H203" i="39"/>
  <c r="H112" i="39" s="1"/>
  <c r="H107" i="39"/>
  <c r="H106" i="39"/>
  <c r="N200" i="39"/>
  <c r="N201" i="39" s="1"/>
  <c r="N108" i="39"/>
  <c r="N104" i="39"/>
  <c r="L416" i="39"/>
  <c r="L320" i="39"/>
  <c r="L319" i="39"/>
  <c r="O374" i="37"/>
  <c r="O378" i="37" s="1"/>
  <c r="O399" i="37" s="1"/>
  <c r="H277" i="38"/>
  <c r="H292" i="38" s="1"/>
  <c r="H218" i="38"/>
  <c r="H219" i="38"/>
  <c r="H220" i="38"/>
  <c r="H14" i="38" s="1"/>
  <c r="N416" i="39"/>
  <c r="N456" i="39" s="1"/>
  <c r="N329" i="39" s="1"/>
  <c r="N319" i="39"/>
  <c r="N320" i="39"/>
  <c r="N385" i="39"/>
  <c r="N45" i="39"/>
  <c r="I416" i="39"/>
  <c r="I320" i="39"/>
  <c r="I319" i="39"/>
  <c r="H326" i="35"/>
  <c r="H146" i="35"/>
  <c r="H145" i="35"/>
  <c r="H144" i="35"/>
  <c r="H143" i="35"/>
  <c r="H142" i="35"/>
  <c r="H141" i="35"/>
  <c r="H140" i="35"/>
  <c r="H139" i="35"/>
  <c r="H138" i="35"/>
  <c r="H137" i="35"/>
  <c r="H136" i="35"/>
  <c r="H135" i="35"/>
  <c r="H134" i="35"/>
  <c r="H133" i="35"/>
  <c r="H132" i="35"/>
  <c r="H131" i="35"/>
  <c r="H130" i="35"/>
  <c r="H129" i="35"/>
  <c r="H128" i="35"/>
  <c r="H127" i="35"/>
  <c r="H126" i="35"/>
  <c r="H125" i="35"/>
  <c r="H124" i="35"/>
  <c r="H122" i="35"/>
  <c r="H123" i="35"/>
  <c r="K264" i="39" l="1"/>
  <c r="K265" i="39" s="1"/>
  <c r="M477" i="39"/>
  <c r="M478" i="39" s="1"/>
  <c r="H307" i="38"/>
  <c r="M50" i="41"/>
  <c r="J477" i="39"/>
  <c r="J478" i="39" s="1"/>
  <c r="M222" i="40"/>
  <c r="M227" i="40" s="1"/>
  <c r="G477" i="39"/>
  <c r="G478" i="39" s="1"/>
  <c r="H273" i="39"/>
  <c r="H274" i="39" s="1"/>
  <c r="K477" i="39"/>
  <c r="K478" i="39" s="1"/>
  <c r="K273" i="39"/>
  <c r="K274" i="39" s="1"/>
  <c r="M16" i="41"/>
  <c r="M17" i="41" s="1"/>
  <c r="G264" i="39"/>
  <c r="G265" i="39" s="1"/>
  <c r="I486" i="39"/>
  <c r="I487" i="39" s="1"/>
  <c r="M313" i="40"/>
  <c r="M312" i="40" s="1"/>
  <c r="M307" i="40" s="1"/>
  <c r="F259" i="38"/>
  <c r="J264" i="39"/>
  <c r="J265" i="39" s="1"/>
  <c r="H486" i="39"/>
  <c r="H487" i="39" s="1"/>
  <c r="J16" i="37"/>
  <c r="J17" i="37" s="1"/>
  <c r="L273" i="39"/>
  <c r="L274" i="39" s="1"/>
  <c r="H477" i="39"/>
  <c r="H478" i="39" s="1"/>
  <c r="N477" i="39"/>
  <c r="N478" i="39" s="1"/>
  <c r="N486" i="39"/>
  <c r="N487" i="39" s="1"/>
  <c r="L477" i="39"/>
  <c r="L478" i="39" s="1"/>
  <c r="N273" i="39"/>
  <c r="N274" i="39" s="1"/>
  <c r="G486" i="39"/>
  <c r="G487" i="39" s="1"/>
  <c r="G375" i="39" s="1"/>
  <c r="G376" i="39" s="1"/>
  <c r="F376" i="39" s="1"/>
  <c r="H264" i="39"/>
  <c r="H265" i="39" s="1"/>
  <c r="J313" i="37"/>
  <c r="J312" i="37" s="1"/>
  <c r="J307" i="37" s="1"/>
  <c r="H49" i="40"/>
  <c r="M313" i="41"/>
  <c r="M312" i="41" s="1"/>
  <c r="M307" i="41" s="1"/>
  <c r="M396" i="41" s="1"/>
  <c r="G22" i="37"/>
  <c r="F22" i="41"/>
  <c r="G314" i="41"/>
  <c r="F314" i="41" s="1"/>
  <c r="H79" i="37"/>
  <c r="I390" i="37"/>
  <c r="K397" i="37"/>
  <c r="J264" i="37"/>
  <c r="J265" i="37" s="1"/>
  <c r="K273" i="37"/>
  <c r="K274" i="37" s="1"/>
  <c r="J273" i="37"/>
  <c r="J274" i="37" s="1"/>
  <c r="O418" i="37"/>
  <c r="P390" i="37"/>
  <c r="P313" i="37" s="1"/>
  <c r="P312" i="37" s="1"/>
  <c r="P307" i="37" s="1"/>
  <c r="L264" i="37"/>
  <c r="L265" i="37" s="1"/>
  <c r="L273" i="37"/>
  <c r="L274" i="37" s="1"/>
  <c r="Q174" i="37"/>
  <c r="Q97" i="37" s="1"/>
  <c r="Q96" i="37" s="1"/>
  <c r="Q91" i="37" s="1"/>
  <c r="Q180" i="37" s="1"/>
  <c r="I418" i="37"/>
  <c r="I50" i="37" s="1"/>
  <c r="N264" i="37"/>
  <c r="N265" i="37" s="1"/>
  <c r="O264" i="37"/>
  <c r="O265" i="37" s="1"/>
  <c r="Q418" i="37"/>
  <c r="Q202" i="37"/>
  <c r="Q264" i="37"/>
  <c r="Q265" i="37" s="1"/>
  <c r="K81" i="37"/>
  <c r="K5" i="37" s="1"/>
  <c r="K6" i="37"/>
  <c r="K16" i="37"/>
  <c r="K17" i="37" s="1"/>
  <c r="K313" i="37"/>
  <c r="K312" i="37" s="1"/>
  <c r="K307" i="37" s="1"/>
  <c r="M264" i="37"/>
  <c r="M265" i="37" s="1"/>
  <c r="G264" i="37"/>
  <c r="G265" i="37" s="1"/>
  <c r="K416" i="37"/>
  <c r="K48" i="37" s="1"/>
  <c r="J396" i="37"/>
  <c r="J6" i="37"/>
  <c r="J81" i="37"/>
  <c r="J5" i="37" s="1"/>
  <c r="P273" i="37"/>
  <c r="P274" i="37" s="1"/>
  <c r="H264" i="37"/>
  <c r="H265" i="37" s="1"/>
  <c r="P414" i="37"/>
  <c r="P47" i="37" s="1"/>
  <c r="P418" i="37"/>
  <c r="P50" i="37" s="1"/>
  <c r="M174" i="37"/>
  <c r="M97" i="37" s="1"/>
  <c r="M96" i="37" s="1"/>
  <c r="M91" i="37" s="1"/>
  <c r="M180" i="37" s="1"/>
  <c r="P264" i="37"/>
  <c r="P265" i="37" s="1"/>
  <c r="M273" i="37"/>
  <c r="M274" i="37" s="1"/>
  <c r="G273" i="37"/>
  <c r="G274" i="37" s="1"/>
  <c r="H273" i="37"/>
  <c r="H274" i="37" s="1"/>
  <c r="M418" i="37"/>
  <c r="M202" i="37"/>
  <c r="I273" i="37"/>
  <c r="I274" i="37" s="1"/>
  <c r="I264" i="37"/>
  <c r="I265" i="37" s="1"/>
  <c r="Q273" i="37"/>
  <c r="Q274" i="37" s="1"/>
  <c r="N273" i="37"/>
  <c r="N274" i="37" s="1"/>
  <c r="O273" i="37"/>
  <c r="O274" i="37" s="1"/>
  <c r="O375" i="37"/>
  <c r="O390" i="37" s="1"/>
  <c r="Q416" i="37"/>
  <c r="Q48" i="37" s="1"/>
  <c r="K390" i="40"/>
  <c r="K313" i="40" s="1"/>
  <c r="K312" i="40" s="1"/>
  <c r="K307" i="40" s="1"/>
  <c r="G161" i="40"/>
  <c r="G174" i="40" s="1"/>
  <c r="G97" i="40" s="1"/>
  <c r="I163" i="40"/>
  <c r="I184" i="40" s="1"/>
  <c r="I161" i="40"/>
  <c r="H163" i="40"/>
  <c r="H161" i="40"/>
  <c r="I414" i="40"/>
  <c r="I47" i="40" s="1"/>
  <c r="N397" i="40"/>
  <c r="N413" i="40" s="1"/>
  <c r="N417" i="40" s="1"/>
  <c r="N49" i="40" s="1"/>
  <c r="K174" i="41"/>
  <c r="F182" i="41"/>
  <c r="J174" i="41"/>
  <c r="J97" i="41" s="1"/>
  <c r="J96" i="41" s="1"/>
  <c r="J91" i="41" s="1"/>
  <c r="J180" i="41" s="1"/>
  <c r="F159" i="41"/>
  <c r="I174" i="41"/>
  <c r="I97" i="41" s="1"/>
  <c r="I96" i="41" s="1"/>
  <c r="I91" i="41" s="1"/>
  <c r="I180" i="41" s="1"/>
  <c r="F161" i="41"/>
  <c r="H184" i="41"/>
  <c r="F163" i="41"/>
  <c r="H397" i="41"/>
  <c r="K97" i="41"/>
  <c r="K96" i="41" s="1"/>
  <c r="K91" i="41" s="1"/>
  <c r="K180" i="41" s="1"/>
  <c r="G183" i="41"/>
  <c r="F183" i="41" s="1"/>
  <c r="G174" i="41"/>
  <c r="G97" i="41" s="1"/>
  <c r="G96" i="41" s="1"/>
  <c r="F162" i="41"/>
  <c r="M431" i="41"/>
  <c r="M48" i="41"/>
  <c r="N414" i="41"/>
  <c r="N321" i="41" s="1"/>
  <c r="N320" i="41" s="1"/>
  <c r="N319" i="41" s="1"/>
  <c r="M321" i="41"/>
  <c r="M320" i="41" s="1"/>
  <c r="M319" i="41" s="1"/>
  <c r="M49" i="41"/>
  <c r="M198" i="41"/>
  <c r="L180" i="41"/>
  <c r="L377" i="41"/>
  <c r="L197" i="41"/>
  <c r="L201" i="41" s="1"/>
  <c r="L49" i="41" s="1"/>
  <c r="H81" i="41"/>
  <c r="H5" i="41" s="1"/>
  <c r="H6" i="41"/>
  <c r="L81" i="41"/>
  <c r="L5" i="41" s="1"/>
  <c r="L6" i="41"/>
  <c r="N197" i="41"/>
  <c r="N201" i="41" s="1"/>
  <c r="N49" i="41" s="1"/>
  <c r="N396" i="41"/>
  <c r="J81" i="41"/>
  <c r="J5" i="41" s="1"/>
  <c r="J6" i="41"/>
  <c r="N81" i="41"/>
  <c r="N5" i="41" s="1"/>
  <c r="N6" i="41"/>
  <c r="L400" i="41"/>
  <c r="F181" i="41"/>
  <c r="N180" i="41"/>
  <c r="N16" i="41"/>
  <c r="N17" i="41" s="1"/>
  <c r="N215" i="40"/>
  <c r="N216" i="40" s="1"/>
  <c r="N105" i="40"/>
  <c r="N104" i="40" s="1"/>
  <c r="N103" i="40" s="1"/>
  <c r="L198" i="40"/>
  <c r="K199" i="40"/>
  <c r="K202" i="40" s="1"/>
  <c r="K50" i="40" s="1"/>
  <c r="G197" i="40"/>
  <c r="G201" i="40" s="1"/>
  <c r="F201" i="40" s="1"/>
  <c r="F181" i="40"/>
  <c r="K6" i="40"/>
  <c r="K81" i="40"/>
  <c r="K5" i="40" s="1"/>
  <c r="L390" i="40"/>
  <c r="L397" i="40"/>
  <c r="J390" i="40"/>
  <c r="J397" i="40"/>
  <c r="F375" i="40"/>
  <c r="J237" i="40"/>
  <c r="J229" i="40"/>
  <c r="J239" i="40" s="1"/>
  <c r="J228" i="40"/>
  <c r="J238" i="40" s="1"/>
  <c r="M61" i="40"/>
  <c r="M62" i="40" s="1"/>
  <c r="M396" i="40"/>
  <c r="N16" i="40"/>
  <c r="N17" i="40" s="1"/>
  <c r="N313" i="40"/>
  <c r="N312" i="40" s="1"/>
  <c r="N307" i="40" s="1"/>
  <c r="I81" i="40"/>
  <c r="I5" i="40" s="1"/>
  <c r="I6" i="40"/>
  <c r="M321" i="40"/>
  <c r="M320" i="40" s="1"/>
  <c r="M319" i="40" s="1"/>
  <c r="M228" i="40"/>
  <c r="M238" i="40" s="1"/>
  <c r="M237" i="40"/>
  <c r="M229" i="40"/>
  <c r="M239" i="40" s="1"/>
  <c r="M81" i="40"/>
  <c r="M5" i="40" s="1"/>
  <c r="M6" i="40"/>
  <c r="K180" i="40"/>
  <c r="K413" i="40"/>
  <c r="K417" i="40" s="1"/>
  <c r="K49" i="40" s="1"/>
  <c r="H198" i="40"/>
  <c r="L416" i="40"/>
  <c r="L48" i="40" s="1"/>
  <c r="M431" i="40"/>
  <c r="M432" i="40" s="1"/>
  <c r="G166" i="39"/>
  <c r="F166" i="39" s="1"/>
  <c r="G380" i="39"/>
  <c r="F380" i="39" s="1"/>
  <c r="G163" i="39"/>
  <c r="G167" i="39"/>
  <c r="F167" i="39" s="1"/>
  <c r="G165" i="39"/>
  <c r="F165" i="39" s="1"/>
  <c r="G377" i="39"/>
  <c r="G381" i="39"/>
  <c r="F381" i="39" s="1"/>
  <c r="G164" i="39"/>
  <c r="F164" i="39" s="1"/>
  <c r="G168" i="39"/>
  <c r="F168" i="39" s="1"/>
  <c r="G378" i="39"/>
  <c r="F378" i="39" s="1"/>
  <c r="G379" i="39"/>
  <c r="F379" i="39" s="1"/>
  <c r="H43" i="38"/>
  <c r="H44" i="38" s="1"/>
  <c r="H293" i="38"/>
  <c r="H298" i="38" s="1"/>
  <c r="M48" i="37"/>
  <c r="I325" i="39"/>
  <c r="I59" i="39"/>
  <c r="L325" i="39"/>
  <c r="L59" i="39"/>
  <c r="N202" i="39"/>
  <c r="K325" i="39"/>
  <c r="K59" i="39"/>
  <c r="F203" i="39"/>
  <c r="G203" i="39" s="1"/>
  <c r="G112" i="39" s="1"/>
  <c r="F277" i="38"/>
  <c r="G277" i="38" s="1"/>
  <c r="G307" i="38" s="1"/>
  <c r="L200" i="39"/>
  <c r="L201" i="39" s="1"/>
  <c r="L108" i="39"/>
  <c r="L104" i="39"/>
  <c r="K60" i="38"/>
  <c r="K57" i="38"/>
  <c r="J72" i="38"/>
  <c r="I72" i="38"/>
  <c r="F183" i="37"/>
  <c r="K58" i="38"/>
  <c r="K61" i="38" s="1"/>
  <c r="K4" i="38" s="1"/>
  <c r="K217" i="38"/>
  <c r="K12" i="38" s="1"/>
  <c r="K224" i="38"/>
  <c r="K222" i="38" s="1"/>
  <c r="K39" i="38"/>
  <c r="K292" i="38"/>
  <c r="K43" i="38" s="1"/>
  <c r="K44" i="38" s="1"/>
  <c r="K178" i="39"/>
  <c r="L486" i="39"/>
  <c r="L487" i="39" s="1"/>
  <c r="M486" i="39"/>
  <c r="M487" i="39" s="1"/>
  <c r="G162" i="38"/>
  <c r="F162" i="38" s="1"/>
  <c r="J395" i="39"/>
  <c r="J309" i="39"/>
  <c r="J49" i="39"/>
  <c r="J50" i="39" s="1"/>
  <c r="J337" i="39"/>
  <c r="H415" i="37"/>
  <c r="H418" i="37" s="1"/>
  <c r="O6" i="37"/>
  <c r="O81" i="37"/>
  <c r="O5" i="37" s="1"/>
  <c r="H182" i="37"/>
  <c r="F161" i="37"/>
  <c r="H174" i="37"/>
  <c r="H97" i="37" s="1"/>
  <c r="H96" i="37" s="1"/>
  <c r="H91" i="37" s="1"/>
  <c r="F360" i="39"/>
  <c r="M178" i="39"/>
  <c r="K178" i="38"/>
  <c r="K181" i="38" s="1"/>
  <c r="K160" i="38"/>
  <c r="K170" i="38" s="1"/>
  <c r="K158" i="38"/>
  <c r="K168" i="38" s="1"/>
  <c r="H6" i="37"/>
  <c r="H81" i="37"/>
  <c r="H5" i="37" s="1"/>
  <c r="G174" i="37"/>
  <c r="F159" i="37"/>
  <c r="G181" i="37"/>
  <c r="G396" i="39"/>
  <c r="N79" i="37"/>
  <c r="N76" i="37"/>
  <c r="N78" i="37" s="1"/>
  <c r="F421" i="37"/>
  <c r="F53" i="37" s="1"/>
  <c r="G53" i="37"/>
  <c r="H317" i="38"/>
  <c r="H228" i="38" s="1"/>
  <c r="L292" i="38"/>
  <c r="I25" i="39"/>
  <c r="I391" i="39"/>
  <c r="I456" i="39"/>
  <c r="I329" i="39" s="1"/>
  <c r="N105" i="39"/>
  <c r="I275" i="38"/>
  <c r="I276" i="38" s="1"/>
  <c r="I36" i="38"/>
  <c r="I56" i="38" s="1"/>
  <c r="I216" i="38"/>
  <c r="G220" i="38"/>
  <c r="G218" i="38"/>
  <c r="G219" i="38"/>
  <c r="G317" i="38"/>
  <c r="N374" i="37"/>
  <c r="N378" i="37" s="1"/>
  <c r="N399" i="37" s="1"/>
  <c r="F399" i="37" s="1"/>
  <c r="F358" i="37"/>
  <c r="I147" i="38"/>
  <c r="I148" i="38" s="1"/>
  <c r="I153" i="38" s="1"/>
  <c r="I78" i="38"/>
  <c r="I77" i="38" s="1"/>
  <c r="N264" i="39"/>
  <c r="N265" i="39" s="1"/>
  <c r="L264" i="39"/>
  <c r="L265" i="39" s="1"/>
  <c r="I264" i="39"/>
  <c r="I265" i="39" s="1"/>
  <c r="I273" i="39"/>
  <c r="I274" i="39" s="1"/>
  <c r="H200" i="39"/>
  <c r="H201" i="39" s="1"/>
  <c r="H108" i="39"/>
  <c r="H104" i="39"/>
  <c r="M416" i="39"/>
  <c r="M456" i="39" s="1"/>
  <c r="M329" i="39" s="1"/>
  <c r="M320" i="39"/>
  <c r="M319" i="39"/>
  <c r="P76" i="37"/>
  <c r="P78" i="37" s="1"/>
  <c r="P79" i="37"/>
  <c r="J224" i="38"/>
  <c r="J39" i="38"/>
  <c r="J317" i="38"/>
  <c r="J228" i="38" s="1"/>
  <c r="H325" i="39"/>
  <c r="H59" i="39"/>
  <c r="M112" i="39"/>
  <c r="M243" i="39"/>
  <c r="M116" i="39" s="1"/>
  <c r="I76" i="37"/>
  <c r="I78" i="37" s="1"/>
  <c r="I79" i="37"/>
  <c r="F416" i="39"/>
  <c r="H178" i="38"/>
  <c r="H181" i="38" s="1"/>
  <c r="H160" i="38"/>
  <c r="H170" i="38" s="1"/>
  <c r="H158" i="38"/>
  <c r="H168" i="38" s="1"/>
  <c r="L395" i="39"/>
  <c r="L309" i="39"/>
  <c r="L49" i="39"/>
  <c r="L50" i="39" s="1"/>
  <c r="L337" i="39"/>
  <c r="I224" i="38"/>
  <c r="I39" i="38"/>
  <c r="I307" i="38"/>
  <c r="L456" i="39"/>
  <c r="L329" i="39" s="1"/>
  <c r="J243" i="39"/>
  <c r="J116" i="39" s="1"/>
  <c r="M308" i="39"/>
  <c r="M15" i="39"/>
  <c r="M14" i="39" s="1"/>
  <c r="M55" i="39" s="1"/>
  <c r="N325" i="39"/>
  <c r="N59" i="39"/>
  <c r="N395" i="39"/>
  <c r="N309" i="39"/>
  <c r="N49" i="39"/>
  <c r="N50" i="39" s="1"/>
  <c r="N337" i="39"/>
  <c r="J275" i="38"/>
  <c r="J276" i="38" s="1"/>
  <c r="J36" i="38"/>
  <c r="J56" i="38" s="1"/>
  <c r="J216" i="38"/>
  <c r="F257" i="38"/>
  <c r="G216" i="38"/>
  <c r="Q198" i="37"/>
  <c r="L178" i="39"/>
  <c r="H62" i="38"/>
  <c r="H5" i="38" s="1"/>
  <c r="H6" i="38"/>
  <c r="K307" i="38"/>
  <c r="J273" i="39"/>
  <c r="J274" i="39" s="1"/>
  <c r="M264" i="39"/>
  <c r="M265" i="39" s="1"/>
  <c r="G172" i="38"/>
  <c r="J202" i="39"/>
  <c r="K385" i="39"/>
  <c r="K45" i="39"/>
  <c r="I180" i="37"/>
  <c r="J325" i="39"/>
  <c r="J59" i="39"/>
  <c r="J456" i="39"/>
  <c r="J329" i="39" s="1"/>
  <c r="N225" i="39"/>
  <c r="N112" i="39"/>
  <c r="N243" i="39"/>
  <c r="N116" i="39" s="1"/>
  <c r="Q76" i="37"/>
  <c r="Q78" i="37" s="1"/>
  <c r="Q79" i="37"/>
  <c r="H385" i="39"/>
  <c r="H45" i="39"/>
  <c r="M76" i="37"/>
  <c r="M78" i="37" s="1"/>
  <c r="M79" i="37"/>
  <c r="F419" i="37"/>
  <c r="F51" i="37" s="1"/>
  <c r="G51" i="37"/>
  <c r="I112" i="39"/>
  <c r="I243" i="39"/>
  <c r="I116" i="39" s="1"/>
  <c r="I202" i="39"/>
  <c r="F374" i="39"/>
  <c r="G45" i="39"/>
  <c r="M200" i="39"/>
  <c r="M201" i="39" s="1"/>
  <c r="M108" i="39"/>
  <c r="M104" i="39"/>
  <c r="H217" i="38"/>
  <c r="H12" i="38" s="1"/>
  <c r="H390" i="37"/>
  <c r="H397" i="37"/>
  <c r="M375" i="37"/>
  <c r="I154" i="38"/>
  <c r="P200" i="37"/>
  <c r="P105" i="37" s="1"/>
  <c r="P104" i="37" s="1"/>
  <c r="P103" i="37" s="1"/>
  <c r="L59" i="38"/>
  <c r="Q375" i="37"/>
  <c r="I308" i="39"/>
  <c r="I15" i="39"/>
  <c r="I14" i="39" s="1"/>
  <c r="I55" i="39" s="1"/>
  <c r="H243" i="39"/>
  <c r="H116" i="39" s="1"/>
  <c r="L178" i="38"/>
  <c r="L181" i="38" s="1"/>
  <c r="L160" i="38"/>
  <c r="L170" i="38" s="1"/>
  <c r="L158" i="38"/>
  <c r="L168" i="38" s="1"/>
  <c r="I16" i="37"/>
  <c r="I17" i="37" s="1"/>
  <c r="I313" i="37"/>
  <c r="I312" i="37" s="1"/>
  <c r="I307" i="37" s="1"/>
  <c r="I48" i="37"/>
  <c r="M413" i="39"/>
  <c r="M414" i="39" s="1"/>
  <c r="M321" i="39"/>
  <c r="M317" i="39"/>
  <c r="H39" i="38"/>
  <c r="H224" i="38"/>
  <c r="H222" i="38" s="1"/>
  <c r="N218" i="39"/>
  <c r="N219" i="39" s="1"/>
  <c r="N224" i="39" s="1"/>
  <c r="N249" i="39" s="1"/>
  <c r="N252" i="39" s="1"/>
  <c r="N111" i="39"/>
  <c r="G107" i="39"/>
  <c r="G106" i="39"/>
  <c r="G243" i="39"/>
  <c r="O182" i="37"/>
  <c r="O174" i="37"/>
  <c r="O97" i="37" s="1"/>
  <c r="O96" i="37" s="1"/>
  <c r="O91" i="37" s="1"/>
  <c r="L112" i="39"/>
  <c r="L243" i="39"/>
  <c r="L116" i="39" s="1"/>
  <c r="F410" i="39"/>
  <c r="L224" i="38"/>
  <c r="L222" i="38" s="1"/>
  <c r="L39" i="38"/>
  <c r="L317" i="38"/>
  <c r="L228" i="38" s="1"/>
  <c r="J147" i="38"/>
  <c r="J148" i="38" s="1"/>
  <c r="J153" i="38" s="1"/>
  <c r="J78" i="38"/>
  <c r="J77" i="38" s="1"/>
  <c r="N174" i="37"/>
  <c r="N97" i="37" s="1"/>
  <c r="N96" i="37" s="1"/>
  <c r="N91" i="37" s="1"/>
  <c r="N181" i="37"/>
  <c r="N415" i="37"/>
  <c r="N418" i="37" s="1"/>
  <c r="N50" i="37" s="1"/>
  <c r="G72" i="38"/>
  <c r="F71" i="38"/>
  <c r="L217" i="38"/>
  <c r="L12" i="38" s="1"/>
  <c r="K200" i="39"/>
  <c r="K201" i="39" s="1"/>
  <c r="K108" i="39"/>
  <c r="K104" i="39"/>
  <c r="J105" i="39"/>
  <c r="H178" i="39"/>
  <c r="I105" i="39"/>
  <c r="J200" i="38"/>
  <c r="L199" i="38"/>
  <c r="H199" i="38"/>
  <c r="J198" i="38"/>
  <c r="L197" i="38"/>
  <c r="H197" i="38"/>
  <c r="J196" i="38"/>
  <c r="L192" i="38"/>
  <c r="H192" i="38"/>
  <c r="J191" i="38"/>
  <c r="L190" i="38"/>
  <c r="H190" i="38"/>
  <c r="J189" i="38"/>
  <c r="L188" i="38"/>
  <c r="H188" i="38"/>
  <c r="I200" i="38"/>
  <c r="K199" i="38"/>
  <c r="G199" i="38"/>
  <c r="I198" i="38"/>
  <c r="K197" i="38"/>
  <c r="G197" i="38"/>
  <c r="G201" i="38" s="1"/>
  <c r="G130" i="38" s="1"/>
  <c r="G131" i="38" s="1"/>
  <c r="I196" i="38"/>
  <c r="K192" i="38"/>
  <c r="G192" i="38"/>
  <c r="I191" i="38"/>
  <c r="K190" i="38"/>
  <c r="G190" i="38"/>
  <c r="I189" i="38"/>
  <c r="K188" i="38"/>
  <c r="G188" i="38"/>
  <c r="G193" i="38" s="1"/>
  <c r="L200" i="38"/>
  <c r="H200" i="38"/>
  <c r="J199" i="38"/>
  <c r="L198" i="38"/>
  <c r="H198" i="38"/>
  <c r="J197" i="38"/>
  <c r="L196" i="38"/>
  <c r="H196" i="38"/>
  <c r="H201" i="38" s="1"/>
  <c r="J192" i="38"/>
  <c r="L191" i="38"/>
  <c r="H191" i="38"/>
  <c r="J190" i="38"/>
  <c r="L189" i="38"/>
  <c r="H189" i="38"/>
  <c r="J188" i="38"/>
  <c r="J193" i="38" s="1"/>
  <c r="I199" i="38"/>
  <c r="K196" i="38"/>
  <c r="G191" i="38"/>
  <c r="I188" i="38"/>
  <c r="K198" i="38"/>
  <c r="G196" i="38"/>
  <c r="I190" i="38"/>
  <c r="K200" i="38"/>
  <c r="G198" i="38"/>
  <c r="I192" i="38"/>
  <c r="K189" i="38"/>
  <c r="I197" i="38"/>
  <c r="G189" i="38"/>
  <c r="K191" i="38"/>
  <c r="G200" i="38"/>
  <c r="L62" i="38"/>
  <c r="L5" i="38" s="1"/>
  <c r="L6" i="38"/>
  <c r="F427" i="37"/>
  <c r="F57" i="37" s="1"/>
  <c r="G57" i="37"/>
  <c r="F424" i="37"/>
  <c r="F54" i="37" s="1"/>
  <c r="G54" i="37"/>
  <c r="F420" i="37"/>
  <c r="F52" i="37" s="1"/>
  <c r="G52" i="37"/>
  <c r="I413" i="39"/>
  <c r="I414" i="39" s="1"/>
  <c r="I321" i="39"/>
  <c r="I20" i="39" s="1"/>
  <c r="I317" i="39"/>
  <c r="M25" i="39"/>
  <c r="M391" i="39"/>
  <c r="K456" i="39"/>
  <c r="K329" i="39" s="1"/>
  <c r="J299" i="38" l="1"/>
  <c r="J38" i="38"/>
  <c r="I201" i="38"/>
  <c r="N110" i="39"/>
  <c r="H193" i="38"/>
  <c r="G416" i="39"/>
  <c r="M432" i="41"/>
  <c r="M20" i="39"/>
  <c r="G385" i="39"/>
  <c r="I38" i="38"/>
  <c r="I299" i="38"/>
  <c r="L193" i="38"/>
  <c r="K193" i="38"/>
  <c r="K202" i="39"/>
  <c r="I193" i="38"/>
  <c r="G182" i="40"/>
  <c r="F72" i="38"/>
  <c r="I415" i="39"/>
  <c r="I446" i="39" s="1"/>
  <c r="K201" i="38"/>
  <c r="M415" i="39"/>
  <c r="L201" i="38"/>
  <c r="J201" i="38"/>
  <c r="K16" i="40"/>
  <c r="K17" i="40" s="1"/>
  <c r="N431" i="41"/>
  <c r="N432" i="41" s="1"/>
  <c r="N437" i="41" s="1"/>
  <c r="N442" i="41" s="1"/>
  <c r="G44" i="37"/>
  <c r="G314" i="37"/>
  <c r="P16" i="37"/>
  <c r="P17" i="37" s="1"/>
  <c r="Q50" i="37"/>
  <c r="O397" i="37"/>
  <c r="O413" i="37" s="1"/>
  <c r="O417" i="37" s="1"/>
  <c r="O49" i="37" s="1"/>
  <c r="P321" i="37"/>
  <c r="P320" i="37" s="1"/>
  <c r="P319" i="37" s="1"/>
  <c r="K396" i="37"/>
  <c r="P431" i="37"/>
  <c r="P432" i="37" s="1"/>
  <c r="M50" i="37"/>
  <c r="F378" i="37"/>
  <c r="I182" i="40"/>
  <c r="I174" i="40"/>
  <c r="I97" i="40" s="1"/>
  <c r="I96" i="40" s="1"/>
  <c r="I91" i="40" s="1"/>
  <c r="I180" i="40" s="1"/>
  <c r="H184" i="40"/>
  <c r="F184" i="40" s="1"/>
  <c r="F163" i="40"/>
  <c r="H182" i="40"/>
  <c r="H174" i="40"/>
  <c r="F161" i="40"/>
  <c r="N414" i="40"/>
  <c r="N431" i="40" s="1"/>
  <c r="N432" i="40" s="1"/>
  <c r="K200" i="40"/>
  <c r="K48" i="40" s="1"/>
  <c r="K414" i="40"/>
  <c r="K431" i="40" s="1"/>
  <c r="K432" i="40" s="1"/>
  <c r="G198" i="40"/>
  <c r="F174" i="41"/>
  <c r="F184" i="41"/>
  <c r="F97" i="41"/>
  <c r="L198" i="41"/>
  <c r="L47" i="41" s="1"/>
  <c r="N198" i="41"/>
  <c r="G91" i="41"/>
  <c r="F96" i="41"/>
  <c r="M464" i="41"/>
  <c r="M467" i="41" s="1"/>
  <c r="M437" i="41"/>
  <c r="M442" i="41" s="1"/>
  <c r="L398" i="41"/>
  <c r="L390" i="41"/>
  <c r="M215" i="41"/>
  <c r="M216" i="41" s="1"/>
  <c r="M105" i="41"/>
  <c r="M104" i="41" s="1"/>
  <c r="M103" i="41" s="1"/>
  <c r="M47" i="41"/>
  <c r="M61" i="41" s="1"/>
  <c r="M62" i="41" s="1"/>
  <c r="M464" i="40"/>
  <c r="M467" i="40" s="1"/>
  <c r="M437" i="40"/>
  <c r="M442" i="40" s="1"/>
  <c r="M110" i="40"/>
  <c r="L16" i="40"/>
  <c r="L17" i="40" s="1"/>
  <c r="L313" i="40"/>
  <c r="L312" i="40" s="1"/>
  <c r="L307" i="40" s="1"/>
  <c r="H47" i="40"/>
  <c r="G96" i="40"/>
  <c r="J110" i="40"/>
  <c r="J413" i="40"/>
  <c r="J417" i="40" s="1"/>
  <c r="N396" i="40"/>
  <c r="J16" i="40"/>
  <c r="J17" i="40" s="1"/>
  <c r="J313" i="40"/>
  <c r="J312" i="40" s="1"/>
  <c r="J307" i="40" s="1"/>
  <c r="K396" i="40"/>
  <c r="L215" i="40"/>
  <c r="L216" i="40" s="1"/>
  <c r="L105" i="40"/>
  <c r="L104" i="40" s="1"/>
  <c r="L103" i="40" s="1"/>
  <c r="N249" i="40"/>
  <c r="N252" i="40" s="1"/>
  <c r="N222" i="40"/>
  <c r="N227" i="40" s="1"/>
  <c r="M248" i="40"/>
  <c r="M109" i="40"/>
  <c r="J248" i="40"/>
  <c r="J109" i="40"/>
  <c r="L413" i="40"/>
  <c r="L417" i="40" s="1"/>
  <c r="L49" i="40" s="1"/>
  <c r="J178" i="38"/>
  <c r="J181" i="38" s="1"/>
  <c r="J160" i="38"/>
  <c r="J170" i="38" s="1"/>
  <c r="J158" i="38"/>
  <c r="J168" i="38" s="1"/>
  <c r="I160" i="38"/>
  <c r="I170" i="38" s="1"/>
  <c r="I158" i="38"/>
  <c r="I168" i="38" s="1"/>
  <c r="I178" i="38"/>
  <c r="I181" i="38" s="1"/>
  <c r="N180" i="37"/>
  <c r="M318" i="39"/>
  <c r="M78" i="39"/>
  <c r="M81" i="39" s="1"/>
  <c r="M4" i="39" s="1"/>
  <c r="M56" i="39"/>
  <c r="M390" i="37"/>
  <c r="M397" i="37"/>
  <c r="M105" i="39"/>
  <c r="I111" i="39"/>
  <c r="I110" i="39" s="1"/>
  <c r="I218" i="39"/>
  <c r="I219" i="39" s="1"/>
  <c r="I224" i="39" s="1"/>
  <c r="I249" i="39" s="1"/>
  <c r="I252" i="39" s="1"/>
  <c r="I233" i="39"/>
  <c r="I229" i="39"/>
  <c r="J233" i="39"/>
  <c r="J229" i="39"/>
  <c r="N413" i="39"/>
  <c r="N414" i="39" s="1"/>
  <c r="N321" i="39"/>
  <c r="N20" i="39" s="1"/>
  <c r="N317" i="39"/>
  <c r="M65" i="39"/>
  <c r="M68" i="39"/>
  <c r="M75" i="39"/>
  <c r="L413" i="39"/>
  <c r="L414" i="39" s="1"/>
  <c r="L321" i="39"/>
  <c r="L20" i="39" s="1"/>
  <c r="L317" i="39"/>
  <c r="G325" i="39"/>
  <c r="G59" i="39"/>
  <c r="P215" i="37"/>
  <c r="P216" i="37" s="1"/>
  <c r="P81" i="37"/>
  <c r="P5" i="37" s="1"/>
  <c r="P6" i="37"/>
  <c r="M325" i="39"/>
  <c r="M59" i="39"/>
  <c r="J218" i="39"/>
  <c r="J219" i="39" s="1"/>
  <c r="J224" i="39" s="1"/>
  <c r="J249" i="39" s="1"/>
  <c r="J252" i="39" s="1"/>
  <c r="G228" i="38"/>
  <c r="F228" i="38" s="1"/>
  <c r="F317" i="38"/>
  <c r="F220" i="38"/>
  <c r="G14" i="38"/>
  <c r="F14" i="38" s="1"/>
  <c r="I217" i="38"/>
  <c r="I12" i="38" s="1"/>
  <c r="I58" i="38"/>
  <c r="I61" i="38" s="1"/>
  <c r="I4" i="38" s="1"/>
  <c r="F181" i="37"/>
  <c r="H416" i="37"/>
  <c r="J413" i="39"/>
  <c r="J414" i="39" s="1"/>
  <c r="J321" i="39"/>
  <c r="J20" i="39" s="1"/>
  <c r="J317" i="39"/>
  <c r="J225" i="39"/>
  <c r="I318" i="39"/>
  <c r="I18" i="39" s="1"/>
  <c r="I78" i="39"/>
  <c r="I81" i="39" s="1"/>
  <c r="I4" i="39" s="1"/>
  <c r="I56" i="39"/>
  <c r="N416" i="37"/>
  <c r="N48" i="37" s="1"/>
  <c r="O180" i="37"/>
  <c r="P396" i="37"/>
  <c r="M202" i="39"/>
  <c r="M111" i="39" s="1"/>
  <c r="M110" i="39" s="1"/>
  <c r="F45" i="39"/>
  <c r="H395" i="39"/>
  <c r="H309" i="39"/>
  <c r="H49" i="39"/>
  <c r="H50" i="39" s="1"/>
  <c r="H337" i="39"/>
  <c r="F172" i="38"/>
  <c r="G83" i="38"/>
  <c r="F83" i="38" s="1"/>
  <c r="Q215" i="37"/>
  <c r="Q216" i="37" s="1"/>
  <c r="Q105" i="37"/>
  <c r="Q104" i="37" s="1"/>
  <c r="Q103" i="37" s="1"/>
  <c r="J217" i="38"/>
  <c r="J12" i="38" s="1"/>
  <c r="J58" i="38"/>
  <c r="J61" i="38" s="1"/>
  <c r="J4" i="38" s="1"/>
  <c r="N25" i="39"/>
  <c r="N391" i="39"/>
  <c r="L25" i="39"/>
  <c r="L391" i="39"/>
  <c r="H159" i="38"/>
  <c r="H169" i="38" s="1"/>
  <c r="H82" i="38" s="1"/>
  <c r="I81" i="37"/>
  <c r="I5" i="37" s="1"/>
  <c r="I6" i="37"/>
  <c r="J111" i="39"/>
  <c r="J110" i="39" s="1"/>
  <c r="I60" i="38"/>
  <c r="I57" i="38"/>
  <c r="I59" i="38" s="1"/>
  <c r="I438" i="39"/>
  <c r="K159" i="38"/>
  <c r="K169" i="38" s="1"/>
  <c r="K82" i="38" s="1"/>
  <c r="H199" i="37"/>
  <c r="H202" i="37" s="1"/>
  <c r="H50" i="37" s="1"/>
  <c r="F182" i="37"/>
  <c r="J25" i="39"/>
  <c r="J391" i="39"/>
  <c r="K59" i="38"/>
  <c r="G224" i="38"/>
  <c r="F224" i="38" s="1"/>
  <c r="G39" i="38"/>
  <c r="F39" i="38" s="1"/>
  <c r="N229" i="39"/>
  <c r="N233" i="39"/>
  <c r="F163" i="39"/>
  <c r="G172" i="39"/>
  <c r="G49" i="39" s="1"/>
  <c r="O199" i="37"/>
  <c r="O202" i="37" s="1"/>
  <c r="O50" i="37" s="1"/>
  <c r="M324" i="39"/>
  <c r="M323" i="39" s="1"/>
  <c r="I396" i="37"/>
  <c r="Q390" i="37"/>
  <c r="Q397" i="37"/>
  <c r="H16" i="37"/>
  <c r="H17" i="37" s="1"/>
  <c r="H313" i="37"/>
  <c r="H312" i="37" s="1"/>
  <c r="H307" i="37" s="1"/>
  <c r="M6" i="37"/>
  <c r="M81" i="37"/>
  <c r="M5" i="37" s="1"/>
  <c r="Q81" i="37"/>
  <c r="Q5" i="37" s="1"/>
  <c r="Q6" i="37"/>
  <c r="F216" i="38"/>
  <c r="G217" i="38"/>
  <c r="G58" i="38"/>
  <c r="J60" i="38"/>
  <c r="J57" i="38"/>
  <c r="J59" i="38" s="1"/>
  <c r="H202" i="39"/>
  <c r="H225" i="39" s="1"/>
  <c r="N375" i="37"/>
  <c r="F375" i="37" s="1"/>
  <c r="F307" i="38"/>
  <c r="O16" i="37"/>
  <c r="O17" i="37" s="1"/>
  <c r="O313" i="37"/>
  <c r="O312" i="37" s="1"/>
  <c r="O307" i="37" s="1"/>
  <c r="N6" i="37"/>
  <c r="N81" i="37"/>
  <c r="N5" i="37" s="1"/>
  <c r="G97" i="37"/>
  <c r="F174" i="37"/>
  <c r="N485" i="39"/>
  <c r="J485" i="39"/>
  <c r="N484" i="39"/>
  <c r="J484" i="39"/>
  <c r="N483" i="39"/>
  <c r="J483" i="39"/>
  <c r="N482" i="39"/>
  <c r="J482" i="39"/>
  <c r="N481" i="39"/>
  <c r="J481" i="39"/>
  <c r="N472" i="39"/>
  <c r="J472" i="39"/>
  <c r="M485" i="39"/>
  <c r="I485" i="39"/>
  <c r="M484" i="39"/>
  <c r="I484" i="39"/>
  <c r="M483" i="39"/>
  <c r="I483" i="39"/>
  <c r="M482" i="39"/>
  <c r="I482" i="39"/>
  <c r="M481" i="39"/>
  <c r="I481" i="39"/>
  <c r="M472" i="39"/>
  <c r="I472" i="39"/>
  <c r="L485" i="39"/>
  <c r="H485" i="39"/>
  <c r="L484" i="39"/>
  <c r="H484" i="39"/>
  <c r="L483" i="39"/>
  <c r="H483" i="39"/>
  <c r="L482" i="39"/>
  <c r="H482" i="39"/>
  <c r="L481" i="39"/>
  <c r="H481" i="39"/>
  <c r="L472" i="39"/>
  <c r="H472" i="39"/>
  <c r="G484" i="39"/>
  <c r="G482" i="39"/>
  <c r="K485" i="39"/>
  <c r="K483" i="39"/>
  <c r="K481" i="39"/>
  <c r="K472" i="39"/>
  <c r="G485" i="39"/>
  <c r="G483" i="39"/>
  <c r="G481" i="39"/>
  <c r="G472" i="39"/>
  <c r="K484" i="39"/>
  <c r="K482" i="39"/>
  <c r="K293" i="38"/>
  <c r="K298" i="38" s="1"/>
  <c r="K62" i="38"/>
  <c r="K5" i="38" s="1"/>
  <c r="K6" i="38"/>
  <c r="L202" i="39"/>
  <c r="L218" i="39" s="1"/>
  <c r="L219" i="39" s="1"/>
  <c r="L224" i="39" s="1"/>
  <c r="L249" i="39" s="1"/>
  <c r="L252" i="39" s="1"/>
  <c r="F112" i="39"/>
  <c r="P48" i="37"/>
  <c r="P61" i="37" s="1"/>
  <c r="P62" i="37" s="1"/>
  <c r="F377" i="39"/>
  <c r="G46" i="39"/>
  <c r="F46" i="39" s="1"/>
  <c r="F131" i="38"/>
  <c r="F147" i="38" s="1"/>
  <c r="G154" i="38"/>
  <c r="F154" i="38" s="1"/>
  <c r="G147" i="38"/>
  <c r="G148" i="38" s="1"/>
  <c r="G78" i="38"/>
  <c r="K105" i="39"/>
  <c r="F243" i="39"/>
  <c r="G116" i="39"/>
  <c r="F116" i="39" s="1"/>
  <c r="L159" i="38"/>
  <c r="L169" i="38" s="1"/>
  <c r="L82" i="38" s="1"/>
  <c r="L177" i="38"/>
  <c r="I65" i="39"/>
  <c r="I68" i="39"/>
  <c r="I75" i="39"/>
  <c r="G395" i="39"/>
  <c r="F385" i="39"/>
  <c r="F395" i="39" s="1"/>
  <c r="G309" i="39"/>
  <c r="G337" i="39"/>
  <c r="K395" i="39"/>
  <c r="K309" i="39"/>
  <c r="K49" i="39"/>
  <c r="K50" i="39" s="1"/>
  <c r="K337" i="39"/>
  <c r="I345" i="38"/>
  <c r="K344" i="38"/>
  <c r="G344" i="38"/>
  <c r="I343" i="38"/>
  <c r="K342" i="38"/>
  <c r="G342" i="38"/>
  <c r="I341" i="38"/>
  <c r="K337" i="38"/>
  <c r="G337" i="38"/>
  <c r="I336" i="38"/>
  <c r="K335" i="38"/>
  <c r="G335" i="38"/>
  <c r="I334" i="38"/>
  <c r="K333" i="38"/>
  <c r="K338" i="38" s="1"/>
  <c r="G333" i="38"/>
  <c r="G338" i="38" s="1"/>
  <c r="L345" i="38"/>
  <c r="H345" i="38"/>
  <c r="J344" i="38"/>
  <c r="L343" i="38"/>
  <c r="H343" i="38"/>
  <c r="J342" i="38"/>
  <c r="L341" i="38"/>
  <c r="H341" i="38"/>
  <c r="J337" i="38"/>
  <c r="L336" i="38"/>
  <c r="H336" i="38"/>
  <c r="J335" i="38"/>
  <c r="L334" i="38"/>
  <c r="H334" i="38"/>
  <c r="J333" i="38"/>
  <c r="K345" i="38"/>
  <c r="G345" i="38"/>
  <c r="I344" i="38"/>
  <c r="K343" i="38"/>
  <c r="G343" i="38"/>
  <c r="I342" i="38"/>
  <c r="K341" i="38"/>
  <c r="G341" i="38"/>
  <c r="G346" i="38" s="1"/>
  <c r="G275" i="38" s="1"/>
  <c r="G276" i="38" s="1"/>
  <c r="I337" i="38"/>
  <c r="K336" i="38"/>
  <c r="G336" i="38"/>
  <c r="I335" i="38"/>
  <c r="K334" i="38"/>
  <c r="G334" i="38"/>
  <c r="I333" i="38"/>
  <c r="I338" i="38" s="1"/>
  <c r="H344" i="38"/>
  <c r="J341" i="38"/>
  <c r="L337" i="38"/>
  <c r="H335" i="38"/>
  <c r="J343" i="38"/>
  <c r="H337" i="38"/>
  <c r="J334" i="38"/>
  <c r="J345" i="38"/>
  <c r="L342" i="38"/>
  <c r="J336" i="38"/>
  <c r="L333" i="38"/>
  <c r="L344" i="38"/>
  <c r="H342" i="38"/>
  <c r="L335" i="38"/>
  <c r="H333" i="38"/>
  <c r="J292" i="38"/>
  <c r="J43" i="38" s="1"/>
  <c r="J44" i="38" s="1"/>
  <c r="J223" i="38"/>
  <c r="J222" i="38" s="1"/>
  <c r="N308" i="39"/>
  <c r="N15" i="39"/>
  <c r="N14" i="39" s="1"/>
  <c r="N55" i="39" s="1"/>
  <c r="L15" i="39"/>
  <c r="L14" i="39" s="1"/>
  <c r="L55" i="39" s="1"/>
  <c r="L308" i="39"/>
  <c r="H105" i="39"/>
  <c r="I225" i="39"/>
  <c r="I292" i="38"/>
  <c r="I43" i="38" s="1"/>
  <c r="I44" i="38" s="1"/>
  <c r="I223" i="38"/>
  <c r="I222" i="38" s="1"/>
  <c r="L43" i="38"/>
  <c r="L44" i="38" s="1"/>
  <c r="L293" i="38"/>
  <c r="L298" i="38" s="1"/>
  <c r="G320" i="39"/>
  <c r="G319" i="39"/>
  <c r="G456" i="39"/>
  <c r="H180" i="37"/>
  <c r="J308" i="39"/>
  <c r="J15" i="39"/>
  <c r="J14" i="39" s="1"/>
  <c r="J55" i="39" s="1"/>
  <c r="L105" i="39"/>
  <c r="H305" i="38"/>
  <c r="H315" i="38" s="1"/>
  <c r="H303" i="38"/>
  <c r="H313" i="38" s="1"/>
  <c r="H49" i="38"/>
  <c r="H52" i="38" s="1"/>
  <c r="H323" i="38"/>
  <c r="H326" i="38" s="1"/>
  <c r="L71" i="8"/>
  <c r="K71" i="8"/>
  <c r="J71" i="8"/>
  <c r="L47" i="9"/>
  <c r="K47" i="9"/>
  <c r="J47" i="9"/>
  <c r="J70" i="9"/>
  <c r="J47" i="34"/>
  <c r="J70" i="34"/>
  <c r="J93" i="34"/>
  <c r="H12" i="35"/>
  <c r="H346" i="38" l="1"/>
  <c r="L346" i="38"/>
  <c r="N464" i="41"/>
  <c r="N467" i="41" s="1"/>
  <c r="M58" i="39"/>
  <c r="J415" i="39"/>
  <c r="J442" i="39" s="1"/>
  <c r="M446" i="39"/>
  <c r="M442" i="39"/>
  <c r="J346" i="38"/>
  <c r="L338" i="38"/>
  <c r="J338" i="38"/>
  <c r="M431" i="39"/>
  <c r="M432" i="39" s="1"/>
  <c r="M437" i="39" s="1"/>
  <c r="K177" i="38"/>
  <c r="J446" i="39"/>
  <c r="K229" i="39"/>
  <c r="K233" i="39"/>
  <c r="I431" i="39"/>
  <c r="I63" i="39" s="1"/>
  <c r="I64" i="39" s="1"/>
  <c r="K105" i="40"/>
  <c r="K104" i="40" s="1"/>
  <c r="K103" i="40" s="1"/>
  <c r="K346" i="38"/>
  <c r="I58" i="39"/>
  <c r="K225" i="39"/>
  <c r="K111" i="39"/>
  <c r="K110" i="39" s="1"/>
  <c r="M438" i="39"/>
  <c r="F44" i="38"/>
  <c r="G46" i="38" s="1"/>
  <c r="I346" i="38"/>
  <c r="L225" i="39"/>
  <c r="I324" i="39"/>
  <c r="I323" i="39" s="1"/>
  <c r="J438" i="39"/>
  <c r="K218" i="39"/>
  <c r="K219" i="39" s="1"/>
  <c r="K224" i="39" s="1"/>
  <c r="K249" i="39" s="1"/>
  <c r="K252" i="39" s="1"/>
  <c r="I442" i="39"/>
  <c r="H338" i="38"/>
  <c r="H177" i="38"/>
  <c r="H179" i="38" s="1"/>
  <c r="N321" i="40"/>
  <c r="N320" i="40" s="1"/>
  <c r="N319" i="40" s="1"/>
  <c r="N47" i="40"/>
  <c r="N61" i="40" s="1"/>
  <c r="N62" i="40" s="1"/>
  <c r="O200" i="37"/>
  <c r="O48" i="37" s="1"/>
  <c r="H200" i="37"/>
  <c r="H48" i="37" s="1"/>
  <c r="O414" i="37"/>
  <c r="O321" i="37" s="1"/>
  <c r="O320" i="37" s="1"/>
  <c r="O319" i="37" s="1"/>
  <c r="K215" i="40"/>
  <c r="K216" i="40" s="1"/>
  <c r="K249" i="40" s="1"/>
  <c r="K252" i="40" s="1"/>
  <c r="J414" i="40"/>
  <c r="J47" i="40" s="1"/>
  <c r="F198" i="40"/>
  <c r="K47" i="40"/>
  <c r="K61" i="40" s="1"/>
  <c r="K62" i="40" s="1"/>
  <c r="F182" i="40"/>
  <c r="H97" i="40"/>
  <c r="F174" i="40"/>
  <c r="K321" i="40"/>
  <c r="K320" i="40" s="1"/>
  <c r="K319" i="40" s="1"/>
  <c r="M108" i="40"/>
  <c r="M102" i="40" s="1"/>
  <c r="M113" i="40" s="1"/>
  <c r="J108" i="40"/>
  <c r="J102" i="40" s="1"/>
  <c r="J113" i="40" s="1"/>
  <c r="L215" i="41"/>
  <c r="L216" i="41" s="1"/>
  <c r="L249" i="41" s="1"/>
  <c r="L252" i="41" s="1"/>
  <c r="L105" i="41"/>
  <c r="L104" i="41" s="1"/>
  <c r="L103" i="41" s="1"/>
  <c r="L415" i="41"/>
  <c r="L418" i="41" s="1"/>
  <c r="N105" i="41"/>
  <c r="N215" i="41"/>
  <c r="N216" i="41" s="1"/>
  <c r="N47" i="41"/>
  <c r="N61" i="41" s="1"/>
  <c r="N62" i="41" s="1"/>
  <c r="M249" i="41"/>
  <c r="M252" i="41" s="1"/>
  <c r="M222" i="41"/>
  <c r="M227" i="41" s="1"/>
  <c r="M444" i="41"/>
  <c r="M454" i="41" s="1"/>
  <c r="M443" i="41"/>
  <c r="M453" i="41" s="1"/>
  <c r="M452" i="41"/>
  <c r="L16" i="41"/>
  <c r="L313" i="41"/>
  <c r="G180" i="41"/>
  <c r="F180" i="41" s="1"/>
  <c r="F91" i="41"/>
  <c r="N443" i="41"/>
  <c r="N453" i="41" s="1"/>
  <c r="N452" i="41"/>
  <c r="N444" i="41"/>
  <c r="N454" i="41" s="1"/>
  <c r="N237" i="40"/>
  <c r="N229" i="40"/>
  <c r="N239" i="40" s="1"/>
  <c r="N228" i="40"/>
  <c r="N238" i="40" s="1"/>
  <c r="M250" i="40"/>
  <c r="L396" i="40"/>
  <c r="J250" i="40"/>
  <c r="K464" i="40"/>
  <c r="K467" i="40" s="1"/>
  <c r="K437" i="40"/>
  <c r="K442" i="40" s="1"/>
  <c r="G91" i="40"/>
  <c r="L414" i="40"/>
  <c r="L222" i="40"/>
  <c r="L227" i="40" s="1"/>
  <c r="L249" i="40"/>
  <c r="L252" i="40" s="1"/>
  <c r="J396" i="40"/>
  <c r="N464" i="40"/>
  <c r="N467" i="40" s="1"/>
  <c r="N437" i="40"/>
  <c r="N442" i="40" s="1"/>
  <c r="J49" i="40"/>
  <c r="M444" i="40"/>
  <c r="M454" i="40" s="1"/>
  <c r="M443" i="40"/>
  <c r="M453" i="40" s="1"/>
  <c r="M452" i="40"/>
  <c r="I46" i="38"/>
  <c r="L46" i="38"/>
  <c r="H46" i="38"/>
  <c r="K46" i="38"/>
  <c r="J46" i="38"/>
  <c r="F276" i="38"/>
  <c r="F292" i="38" s="1"/>
  <c r="G299" i="38"/>
  <c r="F299" i="38" s="1"/>
  <c r="G292" i="38"/>
  <c r="G223" i="38"/>
  <c r="G38" i="38"/>
  <c r="F38" i="38" s="1"/>
  <c r="M462" i="39"/>
  <c r="M465" i="39" s="1"/>
  <c r="K25" i="39"/>
  <c r="K391" i="39"/>
  <c r="F337" i="39"/>
  <c r="G391" i="39"/>
  <c r="G413" i="39"/>
  <c r="G414" i="39" s="1"/>
  <c r="G321" i="39"/>
  <c r="G317" i="39"/>
  <c r="G206" i="38"/>
  <c r="G205" i="38"/>
  <c r="G207" i="38" s="1"/>
  <c r="E158" i="38" s="1"/>
  <c r="E168" i="38" s="1"/>
  <c r="G204" i="38"/>
  <c r="J62" i="38"/>
  <c r="J5" i="38" s="1"/>
  <c r="J6" i="38"/>
  <c r="Q413" i="37"/>
  <c r="Q417" i="37" s="1"/>
  <c r="Q49" i="37" s="1"/>
  <c r="L111" i="39"/>
  <c r="L110" i="39" s="1"/>
  <c r="K179" i="38"/>
  <c r="H308" i="39"/>
  <c r="H15" i="39"/>
  <c r="H14" i="39" s="1"/>
  <c r="H55" i="39" s="1"/>
  <c r="P464" i="37"/>
  <c r="P467" i="37" s="1"/>
  <c r="P437" i="37"/>
  <c r="P442" i="37" s="1"/>
  <c r="L318" i="39"/>
  <c r="L18" i="39" s="1"/>
  <c r="L78" i="39"/>
  <c r="L81" i="39" s="1"/>
  <c r="L4" i="39" s="1"/>
  <c r="L56" i="39"/>
  <c r="I239" i="39"/>
  <c r="I231" i="39"/>
  <c r="I241" i="39" s="1"/>
  <c r="I230" i="39"/>
  <c r="I240" i="39" s="1"/>
  <c r="I115" i="39" s="1"/>
  <c r="M218" i="39"/>
  <c r="M219" i="39" s="1"/>
  <c r="M224" i="39" s="1"/>
  <c r="M249" i="39" s="1"/>
  <c r="M252" i="39" s="1"/>
  <c r="J159" i="38"/>
  <c r="J169" i="38" s="1"/>
  <c r="J82" i="38" s="1"/>
  <c r="L305" i="38"/>
  <c r="L315" i="38" s="1"/>
  <c r="L303" i="38"/>
  <c r="L313" i="38" s="1"/>
  <c r="L323" i="38"/>
  <c r="L326" i="38" s="1"/>
  <c r="L49" i="38"/>
  <c r="L52" i="38" s="1"/>
  <c r="F49" i="39"/>
  <c r="G50" i="39"/>
  <c r="F50" i="39" s="1"/>
  <c r="K323" i="38"/>
  <c r="K326" i="38" s="1"/>
  <c r="K305" i="38"/>
  <c r="K315" i="38" s="1"/>
  <c r="K303" i="38"/>
  <c r="K313" i="38" s="1"/>
  <c r="K49" i="38"/>
  <c r="K52" i="38" s="1"/>
  <c r="H233" i="39"/>
  <c r="H229" i="39"/>
  <c r="F58" i="38"/>
  <c r="G61" i="38"/>
  <c r="Q16" i="37"/>
  <c r="Q17" i="37" s="1"/>
  <c r="Q313" i="37"/>
  <c r="Q312" i="37" s="1"/>
  <c r="Q307" i="37" s="1"/>
  <c r="N230" i="39"/>
  <c r="N240" i="39" s="1"/>
  <c r="N231" i="39"/>
  <c r="N241" i="39" s="1"/>
  <c r="N239" i="39"/>
  <c r="J452" i="39"/>
  <c r="J444" i="39"/>
  <c r="J454" i="39" s="1"/>
  <c r="J443" i="39"/>
  <c r="J453" i="39" s="1"/>
  <c r="F202" i="37"/>
  <c r="I6" i="38"/>
  <c r="I62" i="38"/>
  <c r="I5" i="38" s="1"/>
  <c r="H218" i="39"/>
  <c r="H219" i="39" s="1"/>
  <c r="H224" i="39" s="1"/>
  <c r="H249" i="39" s="1"/>
  <c r="H252" i="39" s="1"/>
  <c r="J293" i="38"/>
  <c r="J298" i="38" s="1"/>
  <c r="H413" i="39"/>
  <c r="H414" i="39" s="1"/>
  <c r="H321" i="39"/>
  <c r="H20" i="39" s="1"/>
  <c r="H317" i="39"/>
  <c r="P222" i="37"/>
  <c r="P227" i="37" s="1"/>
  <c r="P249" i="37"/>
  <c r="P252" i="37" s="1"/>
  <c r="N318" i="39"/>
  <c r="N18" i="39" s="1"/>
  <c r="N78" i="39"/>
  <c r="N81" i="39" s="1"/>
  <c r="N4" i="39" s="1"/>
  <c r="N56" i="39"/>
  <c r="J65" i="39"/>
  <c r="J68" i="39"/>
  <c r="J75" i="39"/>
  <c r="F456" i="39"/>
  <c r="G329" i="39"/>
  <c r="F329" i="39" s="1"/>
  <c r="L75" i="39"/>
  <c r="L65" i="39"/>
  <c r="L68" i="39"/>
  <c r="K308" i="39"/>
  <c r="K15" i="39"/>
  <c r="K14" i="39" s="1"/>
  <c r="K55" i="39" s="1"/>
  <c r="F309" i="39"/>
  <c r="G308" i="39"/>
  <c r="L179" i="38"/>
  <c r="F78" i="38"/>
  <c r="G77" i="38"/>
  <c r="L233" i="39"/>
  <c r="L229" i="39"/>
  <c r="O396" i="37"/>
  <c r="N390" i="37"/>
  <c r="N397" i="37"/>
  <c r="F217" i="38"/>
  <c r="G12" i="38"/>
  <c r="F12" i="38" s="1"/>
  <c r="H396" i="37"/>
  <c r="F172" i="39"/>
  <c r="F182" i="39" s="1"/>
  <c r="G124" i="39"/>
  <c r="G182" i="39"/>
  <c r="G96" i="39"/>
  <c r="G15" i="39" s="1"/>
  <c r="G14" i="39" s="1"/>
  <c r="G55" i="39" s="1"/>
  <c r="H111" i="39"/>
  <c r="H110" i="39" s="1"/>
  <c r="H25" i="39"/>
  <c r="H391" i="39"/>
  <c r="F59" i="39"/>
  <c r="J230" i="39"/>
  <c r="J240" i="39" s="1"/>
  <c r="J231" i="39"/>
  <c r="J241" i="39" s="1"/>
  <c r="J239" i="39"/>
  <c r="I159" i="38"/>
  <c r="I169" i="38" s="1"/>
  <c r="I82" i="38" s="1"/>
  <c r="H304" i="38"/>
  <c r="H314" i="38" s="1"/>
  <c r="H227" i="38" s="1"/>
  <c r="H322" i="38"/>
  <c r="N65" i="39"/>
  <c r="N68" i="39"/>
  <c r="N75" i="39"/>
  <c r="K413" i="39"/>
  <c r="K414" i="39" s="1"/>
  <c r="K321" i="39"/>
  <c r="K20" i="39" s="1"/>
  <c r="K317" i="39"/>
  <c r="I76" i="39"/>
  <c r="F148" i="38"/>
  <c r="F153" i="38" s="1"/>
  <c r="G153" i="38"/>
  <c r="F97" i="37"/>
  <c r="G96" i="37"/>
  <c r="M63" i="39"/>
  <c r="M64" i="39" s="1"/>
  <c r="Q249" i="37"/>
  <c r="Q252" i="37" s="1"/>
  <c r="Q222" i="37"/>
  <c r="Q227" i="37" s="1"/>
  <c r="M233" i="39"/>
  <c r="M229" i="39"/>
  <c r="J318" i="39"/>
  <c r="J18" i="39" s="1"/>
  <c r="J78" i="39"/>
  <c r="J81" i="39" s="1"/>
  <c r="J4" i="39" s="1"/>
  <c r="J56" i="39"/>
  <c r="J324" i="39"/>
  <c r="J323" i="39" s="1"/>
  <c r="J58" i="39"/>
  <c r="J431" i="39"/>
  <c r="J63" i="39" s="1"/>
  <c r="J64" i="39" s="1"/>
  <c r="M225" i="39"/>
  <c r="I452" i="39"/>
  <c r="I444" i="39"/>
  <c r="I454" i="39" s="1"/>
  <c r="I443" i="39"/>
  <c r="I453" i="39" s="1"/>
  <c r="I293" i="38"/>
  <c r="I298" i="38" s="1"/>
  <c r="F325" i="39"/>
  <c r="L415" i="39"/>
  <c r="M76" i="39"/>
  <c r="N415" i="39"/>
  <c r="N438" i="39" s="1"/>
  <c r="M16" i="37"/>
  <c r="M17" i="37" s="1"/>
  <c r="M313" i="37"/>
  <c r="M18" i="39"/>
  <c r="L70" i="9"/>
  <c r="K70" i="9"/>
  <c r="F46" i="38" l="1"/>
  <c r="F47" i="38" s="1"/>
  <c r="K415" i="39"/>
  <c r="K442" i="39" s="1"/>
  <c r="K230" i="39"/>
  <c r="K240" i="39" s="1"/>
  <c r="K239" i="39"/>
  <c r="K231" i="39"/>
  <c r="K241" i="39" s="1"/>
  <c r="N58" i="39"/>
  <c r="K222" i="40"/>
  <c r="K227" i="40" s="1"/>
  <c r="N76" i="39"/>
  <c r="N324" i="39"/>
  <c r="N323" i="39" s="1"/>
  <c r="I432" i="39"/>
  <c r="I437" i="39" s="1"/>
  <c r="M444" i="39"/>
  <c r="M454" i="39" s="1"/>
  <c r="M443" i="39"/>
  <c r="M453" i="39" s="1"/>
  <c r="M328" i="39" s="1"/>
  <c r="M452" i="39"/>
  <c r="J328" i="39"/>
  <c r="O105" i="37"/>
  <c r="O104" i="37" s="1"/>
  <c r="O103" i="37" s="1"/>
  <c r="O431" i="37"/>
  <c r="O432" i="37" s="1"/>
  <c r="O464" i="37" s="1"/>
  <c r="O467" i="37" s="1"/>
  <c r="F200" i="37"/>
  <c r="O215" i="37"/>
  <c r="O216" i="37" s="1"/>
  <c r="O249" i="37" s="1"/>
  <c r="O252" i="37" s="1"/>
  <c r="O47" i="37"/>
  <c r="O61" i="37" s="1"/>
  <c r="O62" i="37" s="1"/>
  <c r="J321" i="40"/>
  <c r="J320" i="40" s="1"/>
  <c r="J319" i="40" s="1"/>
  <c r="J431" i="40"/>
  <c r="J432" i="40" s="1"/>
  <c r="J437" i="40" s="1"/>
  <c r="J442" i="40" s="1"/>
  <c r="H96" i="40"/>
  <c r="F97" i="40"/>
  <c r="J61" i="40"/>
  <c r="J62" i="40" s="1"/>
  <c r="M326" i="40"/>
  <c r="L222" i="41"/>
  <c r="L227" i="41" s="1"/>
  <c r="L237" i="41" s="1"/>
  <c r="L416" i="41"/>
  <c r="L48" i="41" s="1"/>
  <c r="M326" i="41"/>
  <c r="N326" i="41"/>
  <c r="N104" i="41"/>
  <c r="K289" i="41"/>
  <c r="G289" i="41"/>
  <c r="K288" i="41"/>
  <c r="N289" i="41"/>
  <c r="J289" i="41"/>
  <c r="N288" i="41"/>
  <c r="J288" i="41"/>
  <c r="N287" i="41"/>
  <c r="H289" i="41"/>
  <c r="H288" i="41"/>
  <c r="K287" i="41"/>
  <c r="G287" i="41"/>
  <c r="K286" i="41"/>
  <c r="G286" i="41"/>
  <c r="K285" i="41"/>
  <c r="G285" i="41"/>
  <c r="K281" i="41"/>
  <c r="G281" i="41"/>
  <c r="K280" i="41"/>
  <c r="G280" i="41"/>
  <c r="K279" i="41"/>
  <c r="G279" i="41"/>
  <c r="K278" i="41"/>
  <c r="G278" i="41"/>
  <c r="K277" i="41"/>
  <c r="G277" i="41"/>
  <c r="M289" i="41"/>
  <c r="M288" i="41"/>
  <c r="G288" i="41"/>
  <c r="J287" i="41"/>
  <c r="N286" i="41"/>
  <c r="J286" i="41"/>
  <c r="N285" i="41"/>
  <c r="J285" i="41"/>
  <c r="N281" i="41"/>
  <c r="J281" i="41"/>
  <c r="N280" i="41"/>
  <c r="J280" i="41"/>
  <c r="N279" i="41"/>
  <c r="J279" i="41"/>
  <c r="N278" i="41"/>
  <c r="J278" i="41"/>
  <c r="N277" i="41"/>
  <c r="J277" i="41"/>
  <c r="L289" i="41"/>
  <c r="L288" i="41"/>
  <c r="M287" i="41"/>
  <c r="I287" i="41"/>
  <c r="M286" i="41"/>
  <c r="I286" i="41"/>
  <c r="M285" i="41"/>
  <c r="I285" i="41"/>
  <c r="M281" i="41"/>
  <c r="I281" i="41"/>
  <c r="M280" i="41"/>
  <c r="I280" i="41"/>
  <c r="M279" i="41"/>
  <c r="I279" i="41"/>
  <c r="M278" i="41"/>
  <c r="I278" i="41"/>
  <c r="M277" i="41"/>
  <c r="I277" i="41"/>
  <c r="L287" i="41"/>
  <c r="L285" i="41"/>
  <c r="L281" i="41"/>
  <c r="L279" i="41"/>
  <c r="L277" i="41"/>
  <c r="H287" i="41"/>
  <c r="H285" i="41"/>
  <c r="H281" i="41"/>
  <c r="H279" i="41"/>
  <c r="H277" i="41"/>
  <c r="I289" i="41"/>
  <c r="L286" i="41"/>
  <c r="L280" i="41"/>
  <c r="L278" i="41"/>
  <c r="I288" i="41"/>
  <c r="H286" i="41"/>
  <c r="H280" i="41"/>
  <c r="H278" i="41"/>
  <c r="L312" i="41"/>
  <c r="M463" i="41"/>
  <c r="M325" i="41"/>
  <c r="M229" i="41"/>
  <c r="M239" i="41" s="1"/>
  <c r="M237" i="41"/>
  <c r="M228" i="41"/>
  <c r="M238" i="41" s="1"/>
  <c r="L50" i="41"/>
  <c r="N463" i="41"/>
  <c r="N325" i="41"/>
  <c r="L17" i="41"/>
  <c r="N249" i="41"/>
  <c r="N252" i="41" s="1"/>
  <c r="N222" i="41"/>
  <c r="N227" i="41" s="1"/>
  <c r="L228" i="40"/>
  <c r="L238" i="40" s="1"/>
  <c r="L237" i="40"/>
  <c r="L229" i="40"/>
  <c r="L239" i="40" s="1"/>
  <c r="J251" i="40"/>
  <c r="J256" i="40"/>
  <c r="K229" i="40"/>
  <c r="K239" i="40" s="1"/>
  <c r="K228" i="40"/>
  <c r="K238" i="40" s="1"/>
  <c r="K237" i="40"/>
  <c r="N110" i="40"/>
  <c r="N443" i="40"/>
  <c r="N453" i="40" s="1"/>
  <c r="N452" i="40"/>
  <c r="N444" i="40"/>
  <c r="N454" i="40" s="1"/>
  <c r="M251" i="40"/>
  <c r="M256" i="40"/>
  <c r="M463" i="40"/>
  <c r="M325" i="40"/>
  <c r="G180" i="40"/>
  <c r="N248" i="40"/>
  <c r="N109" i="40"/>
  <c r="L431" i="40"/>
  <c r="L432" i="40" s="1"/>
  <c r="L321" i="40"/>
  <c r="L320" i="40" s="1"/>
  <c r="L319" i="40" s="1"/>
  <c r="L47" i="40"/>
  <c r="L61" i="40" s="1"/>
  <c r="L62" i="40" s="1"/>
  <c r="K443" i="40"/>
  <c r="K453" i="40" s="1"/>
  <c r="K452" i="40"/>
  <c r="K444" i="40"/>
  <c r="K454" i="40" s="1"/>
  <c r="J47" i="38"/>
  <c r="I47" i="38"/>
  <c r="L47" i="38"/>
  <c r="H47" i="38"/>
  <c r="G47" i="38"/>
  <c r="K47" i="38"/>
  <c r="K443" i="39"/>
  <c r="K453" i="39" s="1"/>
  <c r="K452" i="39"/>
  <c r="K444" i="39"/>
  <c r="K454" i="39" s="1"/>
  <c r="I77" i="39"/>
  <c r="I79" i="39" s="1"/>
  <c r="I80" i="39"/>
  <c r="H324" i="38"/>
  <c r="H50" i="38"/>
  <c r="H51" i="38" s="1"/>
  <c r="J248" i="39"/>
  <c r="G200" i="39"/>
  <c r="G201" i="39" s="1"/>
  <c r="G108" i="39"/>
  <c r="F108" i="39" s="1"/>
  <c r="G104" i="39"/>
  <c r="G78" i="39" s="1"/>
  <c r="O437" i="37"/>
  <c r="O442" i="37" s="1"/>
  <c r="I461" i="39"/>
  <c r="K318" i="39"/>
  <c r="K18" i="39" s="1"/>
  <c r="K78" i="39"/>
  <c r="K81" i="39" s="1"/>
  <c r="K4" i="39" s="1"/>
  <c r="K56" i="39"/>
  <c r="F124" i="39"/>
  <c r="G178" i="39"/>
  <c r="L239" i="39"/>
  <c r="L231" i="39"/>
  <c r="L241" i="39" s="1"/>
  <c r="L230" i="39"/>
  <c r="L240" i="39" s="1"/>
  <c r="L115" i="39" s="1"/>
  <c r="J76" i="39"/>
  <c r="H415" i="39"/>
  <c r="H431" i="39" s="1"/>
  <c r="H63" i="39" s="1"/>
  <c r="H64" i="39" s="1"/>
  <c r="H239" i="39"/>
  <c r="H231" i="39"/>
  <c r="H241" i="39" s="1"/>
  <c r="H230" i="39"/>
  <c r="H240" i="39" s="1"/>
  <c r="H115" i="39" s="1"/>
  <c r="N442" i="39"/>
  <c r="N446" i="39"/>
  <c r="I323" i="38"/>
  <c r="I326" i="38" s="1"/>
  <c r="I305" i="38"/>
  <c r="I315" i="38" s="1"/>
  <c r="I303" i="38"/>
  <c r="I313" i="38" s="1"/>
  <c r="I49" i="38"/>
  <c r="I52" i="38" s="1"/>
  <c r="J432" i="39"/>
  <c r="J437" i="39" s="1"/>
  <c r="Q228" i="37"/>
  <c r="Q229" i="37"/>
  <c r="G91" i="37"/>
  <c r="F96" i="37"/>
  <c r="J115" i="39"/>
  <c r="L185" i="38"/>
  <c r="L184" i="38" s="1"/>
  <c r="L182" i="38" s="1"/>
  <c r="L183" i="38" s="1"/>
  <c r="L81" i="38" s="1"/>
  <c r="L80" i="38" s="1"/>
  <c r="L76" i="38" s="1"/>
  <c r="L84" i="38" s="1"/>
  <c r="N431" i="39"/>
  <c r="H318" i="39"/>
  <c r="H18" i="39" s="1"/>
  <c r="H78" i="39"/>
  <c r="H81" i="39" s="1"/>
  <c r="H4" i="39" s="1"/>
  <c r="H56" i="39"/>
  <c r="H185" i="38"/>
  <c r="H184" i="38" s="1"/>
  <c r="H182" i="38" s="1"/>
  <c r="H183" i="38" s="1"/>
  <c r="H81" i="38" s="1"/>
  <c r="H80" i="38" s="1"/>
  <c r="H76" i="38" s="1"/>
  <c r="H84" i="38" s="1"/>
  <c r="J461" i="39"/>
  <c r="P443" i="37"/>
  <c r="P444" i="37"/>
  <c r="Q414" i="37"/>
  <c r="G415" i="39"/>
  <c r="G324" i="39" s="1"/>
  <c r="G25" i="39"/>
  <c r="F25" i="39" s="1"/>
  <c r="F223" i="38"/>
  <c r="G222" i="38"/>
  <c r="L446" i="39"/>
  <c r="L442" i="39"/>
  <c r="G178" i="38"/>
  <c r="G160" i="38"/>
  <c r="F160" i="38" s="1"/>
  <c r="F170" i="38" s="1"/>
  <c r="G170" i="38" s="1"/>
  <c r="G158" i="38"/>
  <c r="F158" i="38" s="1"/>
  <c r="F168" i="38" s="1"/>
  <c r="G168" i="38" s="1"/>
  <c r="L431" i="39"/>
  <c r="K446" i="39"/>
  <c r="N16" i="37"/>
  <c r="N17" i="37" s="1"/>
  <c r="N313" i="37"/>
  <c r="N312" i="37" s="1"/>
  <c r="N307" i="37" s="1"/>
  <c r="L76" i="39"/>
  <c r="P228" i="37"/>
  <c r="P229" i="37"/>
  <c r="Q396" i="37"/>
  <c r="M312" i="37"/>
  <c r="M77" i="39"/>
  <c r="M79" i="39" s="1"/>
  <c r="M80" i="39"/>
  <c r="I328" i="39"/>
  <c r="I462" i="39"/>
  <c r="I465" i="39" s="1"/>
  <c r="I69" i="39"/>
  <c r="I72" i="39" s="1"/>
  <c r="K431" i="39"/>
  <c r="K63" i="39" s="1"/>
  <c r="K64" i="39" s="1"/>
  <c r="K324" i="39"/>
  <c r="K323" i="39" s="1"/>
  <c r="K58" i="39"/>
  <c r="I177" i="38"/>
  <c r="L324" i="39"/>
  <c r="L323" i="39" s="1"/>
  <c r="F96" i="39"/>
  <c r="G95" i="39"/>
  <c r="F95" i="39" s="1"/>
  <c r="F77" i="38"/>
  <c r="K68" i="39"/>
  <c r="K75" i="39"/>
  <c r="K65" i="39"/>
  <c r="J323" i="38"/>
  <c r="J326" i="38" s="1"/>
  <c r="J305" i="38"/>
  <c r="J315" i="38" s="1"/>
  <c r="J303" i="38"/>
  <c r="J313" i="38" s="1"/>
  <c r="J49" i="38"/>
  <c r="J52" i="38" s="1"/>
  <c r="N248" i="39"/>
  <c r="F61" i="38"/>
  <c r="G4" i="38"/>
  <c r="F4" i="38" s="1"/>
  <c r="M52" i="39"/>
  <c r="I52" i="39"/>
  <c r="L52" i="39"/>
  <c r="H52" i="39"/>
  <c r="K52" i="39"/>
  <c r="G52" i="39"/>
  <c r="N52" i="39"/>
  <c r="J52" i="39"/>
  <c r="J177" i="38"/>
  <c r="I248" i="39"/>
  <c r="H75" i="39"/>
  <c r="H65" i="39"/>
  <c r="H68" i="39"/>
  <c r="K185" i="38"/>
  <c r="K184" i="38" s="1"/>
  <c r="K182" i="38" s="1"/>
  <c r="K183" i="38" s="1"/>
  <c r="K81" i="38" s="1"/>
  <c r="K80" i="38" s="1"/>
  <c r="K76" i="38" s="1"/>
  <c r="K84" i="38" s="1"/>
  <c r="F317" i="39"/>
  <c r="G318" i="39"/>
  <c r="M69" i="39"/>
  <c r="M72" i="39" s="1"/>
  <c r="G43" i="38"/>
  <c r="G293" i="38"/>
  <c r="N77" i="39"/>
  <c r="N79" i="39" s="1"/>
  <c r="N80" i="39"/>
  <c r="G68" i="39"/>
  <c r="F55" i="39"/>
  <c r="G75" i="39"/>
  <c r="F75" i="39" s="1"/>
  <c r="G65" i="39"/>
  <c r="L438" i="39"/>
  <c r="K304" i="38"/>
  <c r="K314" i="38" s="1"/>
  <c r="K227" i="38" s="1"/>
  <c r="K322" i="38"/>
  <c r="L304" i="38"/>
  <c r="L314" i="38" s="1"/>
  <c r="L227" i="38" s="1"/>
  <c r="L322" i="38"/>
  <c r="F321" i="39"/>
  <c r="G20" i="39"/>
  <c r="F20" i="39" s="1"/>
  <c r="F391" i="39"/>
  <c r="K438" i="39"/>
  <c r="G351" i="38"/>
  <c r="G350" i="38"/>
  <c r="G349" i="38"/>
  <c r="G352" i="38"/>
  <c r="E303" i="38" s="1"/>
  <c r="E313" i="38" s="1"/>
  <c r="M239" i="39"/>
  <c r="M231" i="39"/>
  <c r="M241" i="39" s="1"/>
  <c r="M230" i="39"/>
  <c r="M240" i="39" s="1"/>
  <c r="L58" i="39"/>
  <c r="F308" i="39"/>
  <c r="N115" i="39"/>
  <c r="L93" i="34"/>
  <c r="K93" i="34"/>
  <c r="L70" i="34"/>
  <c r="K70" i="34"/>
  <c r="K47" i="34"/>
  <c r="L47" i="34"/>
  <c r="K27" i="8"/>
  <c r="J27" i="8"/>
  <c r="G431" i="39" l="1"/>
  <c r="G432" i="39" s="1"/>
  <c r="H76" i="39"/>
  <c r="G202" i="39"/>
  <c r="G438" i="39"/>
  <c r="M115" i="39"/>
  <c r="M461" i="39"/>
  <c r="M463" i="39" s="1"/>
  <c r="K76" i="39"/>
  <c r="H438" i="39"/>
  <c r="G56" i="39"/>
  <c r="F56" i="39" s="1"/>
  <c r="H324" i="39"/>
  <c r="H323" i="39" s="1"/>
  <c r="K248" i="39"/>
  <c r="K250" i="39" s="1"/>
  <c r="H58" i="39"/>
  <c r="K115" i="39"/>
  <c r="J464" i="40"/>
  <c r="J467" i="40" s="1"/>
  <c r="O222" i="37"/>
  <c r="O227" i="37" s="1"/>
  <c r="O229" i="37" s="1"/>
  <c r="N108" i="40"/>
  <c r="N102" i="40" s="1"/>
  <c r="N113" i="40" s="1"/>
  <c r="M324" i="40"/>
  <c r="M318" i="40" s="1"/>
  <c r="M329" i="40" s="1"/>
  <c r="H91" i="40"/>
  <c r="F96" i="40"/>
  <c r="L110" i="40"/>
  <c r="L228" i="41"/>
  <c r="L238" i="41" s="1"/>
  <c r="I282" i="41"/>
  <c r="I197" i="41" s="1"/>
  <c r="I201" i="41" s="1"/>
  <c r="G282" i="41"/>
  <c r="G197" i="41" s="1"/>
  <c r="G198" i="41" s="1"/>
  <c r="L321" i="41"/>
  <c r="L320" i="41" s="1"/>
  <c r="L319" i="41" s="1"/>
  <c r="L229" i="41"/>
  <c r="L239" i="41" s="1"/>
  <c r="N324" i="41"/>
  <c r="N318" i="41" s="1"/>
  <c r="N329" i="41" s="1"/>
  <c r="L431" i="41"/>
  <c r="M290" i="41"/>
  <c r="I290" i="41"/>
  <c r="I199" i="41" s="1"/>
  <c r="H290" i="41"/>
  <c r="H199" i="41" s="1"/>
  <c r="N290" i="41"/>
  <c r="M324" i="41"/>
  <c r="M318" i="41" s="1"/>
  <c r="M329" i="41" s="1"/>
  <c r="M110" i="41"/>
  <c r="N282" i="41"/>
  <c r="K290" i="41"/>
  <c r="K199" i="41" s="1"/>
  <c r="H282" i="41"/>
  <c r="H197" i="41" s="1"/>
  <c r="J290" i="41"/>
  <c r="J199" i="41" s="1"/>
  <c r="L282" i="41"/>
  <c r="M282" i="41"/>
  <c r="K282" i="41"/>
  <c r="K197" i="41" s="1"/>
  <c r="L290" i="41"/>
  <c r="J282" i="41"/>
  <c r="J197" i="41" s="1"/>
  <c r="G290" i="41"/>
  <c r="G199" i="41" s="1"/>
  <c r="M465" i="41"/>
  <c r="L109" i="41"/>
  <c r="N229" i="41"/>
  <c r="N239" i="41" s="1"/>
  <c r="N228" i="41"/>
  <c r="N238" i="41" s="1"/>
  <c r="N237" i="41"/>
  <c r="N465" i="41"/>
  <c r="L307" i="41"/>
  <c r="L61" i="41"/>
  <c r="M248" i="41"/>
  <c r="M109" i="41"/>
  <c r="N103" i="41"/>
  <c r="N250" i="40"/>
  <c r="M465" i="40"/>
  <c r="M69" i="40"/>
  <c r="M70" i="40" s="1"/>
  <c r="K248" i="40"/>
  <c r="K109" i="40"/>
  <c r="K463" i="40"/>
  <c r="K325" i="40"/>
  <c r="L464" i="40"/>
  <c r="L467" i="40" s="1"/>
  <c r="L437" i="40"/>
  <c r="L442" i="40" s="1"/>
  <c r="N463" i="40"/>
  <c r="N325" i="40"/>
  <c r="K110" i="40"/>
  <c r="J443" i="40"/>
  <c r="J453" i="40" s="1"/>
  <c r="J452" i="40"/>
  <c r="J444" i="40"/>
  <c r="J454" i="40" s="1"/>
  <c r="K326" i="40"/>
  <c r="N326" i="40"/>
  <c r="L248" i="40"/>
  <c r="L109" i="40"/>
  <c r="L108" i="40" s="1"/>
  <c r="L102" i="40" s="1"/>
  <c r="L113" i="40" s="1"/>
  <c r="G437" i="39"/>
  <c r="K324" i="38"/>
  <c r="K50" i="38"/>
  <c r="K51" i="38" s="1"/>
  <c r="F438" i="39"/>
  <c r="F293" i="38"/>
  <c r="F298" i="38" s="1"/>
  <c r="G298" i="38"/>
  <c r="F78" i="39"/>
  <c r="G81" i="39"/>
  <c r="F52" i="39"/>
  <c r="F53" i="39" s="1"/>
  <c r="M469" i="39"/>
  <c r="M468" i="39" s="1"/>
  <c r="M466" i="39" s="1"/>
  <c r="M467" i="39" s="1"/>
  <c r="M327" i="39" s="1"/>
  <c r="M326" i="39" s="1"/>
  <c r="M322" i="39" s="1"/>
  <c r="M330" i="39" s="1"/>
  <c r="J304" i="38"/>
  <c r="J314" i="38" s="1"/>
  <c r="J227" i="38" s="1"/>
  <c r="I179" i="38"/>
  <c r="M82" i="39"/>
  <c r="M5" i="39" s="1"/>
  <c r="M6" i="39"/>
  <c r="L63" i="39"/>
  <c r="L64" i="39" s="1"/>
  <c r="L432" i="39"/>
  <c r="L437" i="39" s="1"/>
  <c r="L443" i="39"/>
  <c r="L453" i="39" s="1"/>
  <c r="L452" i="39"/>
  <c r="L444" i="39"/>
  <c r="L454" i="39" s="1"/>
  <c r="Q431" i="37"/>
  <c r="Q432" i="37" s="1"/>
  <c r="Q321" i="37"/>
  <c r="Q320" i="37" s="1"/>
  <c r="Q319" i="37" s="1"/>
  <c r="Q47" i="37"/>
  <c r="Q61" i="37" s="1"/>
  <c r="Q62" i="37" s="1"/>
  <c r="H248" i="39"/>
  <c r="O443" i="37"/>
  <c r="O444" i="37"/>
  <c r="G218" i="39"/>
  <c r="G219" i="39" s="1"/>
  <c r="G111" i="39"/>
  <c r="J250" i="39"/>
  <c r="I82" i="39"/>
  <c r="I5" i="39" s="1"/>
  <c r="I6" i="39"/>
  <c r="K328" i="39"/>
  <c r="G63" i="39"/>
  <c r="N502" i="39"/>
  <c r="J502" i="39"/>
  <c r="N501" i="39"/>
  <c r="J501" i="39"/>
  <c r="N500" i="39"/>
  <c r="J500" i="39"/>
  <c r="N499" i="39"/>
  <c r="J499" i="39"/>
  <c r="N498" i="39"/>
  <c r="N503" i="39" s="1"/>
  <c r="J498" i="39"/>
  <c r="J503" i="39" s="1"/>
  <c r="N494" i="39"/>
  <c r="J494" i="39"/>
  <c r="N493" i="39"/>
  <c r="J493" i="39"/>
  <c r="N492" i="39"/>
  <c r="J492" i="39"/>
  <c r="N491" i="39"/>
  <c r="J491" i="39"/>
  <c r="N490" i="39"/>
  <c r="N495" i="39" s="1"/>
  <c r="J490" i="39"/>
  <c r="J495" i="39" s="1"/>
  <c r="M502" i="39"/>
  <c r="I502" i="39"/>
  <c r="M501" i="39"/>
  <c r="I501" i="39"/>
  <c r="M500" i="39"/>
  <c r="I500" i="39"/>
  <c r="M499" i="39"/>
  <c r="I499" i="39"/>
  <c r="M498" i="39"/>
  <c r="I498" i="39"/>
  <c r="I503" i="39" s="1"/>
  <c r="M494" i="39"/>
  <c r="I494" i="39"/>
  <c r="M493" i="39"/>
  <c r="I493" i="39"/>
  <c r="M492" i="39"/>
  <c r="I492" i="39"/>
  <c r="M491" i="39"/>
  <c r="I491" i="39"/>
  <c r="M490" i="39"/>
  <c r="M495" i="39" s="1"/>
  <c r="I490" i="39"/>
  <c r="I495" i="39" s="1"/>
  <c r="L502" i="39"/>
  <c r="H502" i="39"/>
  <c r="L501" i="39"/>
  <c r="H501" i="39"/>
  <c r="L500" i="39"/>
  <c r="H500" i="39"/>
  <c r="L499" i="39"/>
  <c r="H499" i="39"/>
  <c r="L498" i="39"/>
  <c r="L503" i="39" s="1"/>
  <c r="H498" i="39"/>
  <c r="H503" i="39" s="1"/>
  <c r="L494" i="39"/>
  <c r="H494" i="39"/>
  <c r="L493" i="39"/>
  <c r="H493" i="39"/>
  <c r="L492" i="39"/>
  <c r="H492" i="39"/>
  <c r="L491" i="39"/>
  <c r="H491" i="39"/>
  <c r="L490" i="39"/>
  <c r="L495" i="39" s="1"/>
  <c r="H490" i="39"/>
  <c r="H495" i="39" s="1"/>
  <c r="G502" i="39"/>
  <c r="G500" i="39"/>
  <c r="G498" i="39"/>
  <c r="G503" i="39" s="1"/>
  <c r="G493" i="39"/>
  <c r="G491" i="39"/>
  <c r="K501" i="39"/>
  <c r="K499" i="39"/>
  <c r="K494" i="39"/>
  <c r="K492" i="39"/>
  <c r="K490" i="39"/>
  <c r="G501" i="39"/>
  <c r="G499" i="39"/>
  <c r="G494" i="39"/>
  <c r="G492" i="39"/>
  <c r="G490" i="39"/>
  <c r="G495" i="39" s="1"/>
  <c r="K502" i="39"/>
  <c r="K493" i="39"/>
  <c r="K500" i="39"/>
  <c r="K491" i="39"/>
  <c r="K498" i="39"/>
  <c r="K503" i="39" s="1"/>
  <c r="M248" i="39"/>
  <c r="F65" i="39"/>
  <c r="G76" i="39"/>
  <c r="F68" i="39"/>
  <c r="F43" i="38"/>
  <c r="G48" i="38"/>
  <c r="F318" i="39"/>
  <c r="H77" i="39"/>
  <c r="H79" i="39" s="1"/>
  <c r="H80" i="39"/>
  <c r="G159" i="38"/>
  <c r="F159" i="38" s="1"/>
  <c r="F169" i="38" s="1"/>
  <c r="G169" i="38" s="1"/>
  <c r="G82" i="38" s="1"/>
  <c r="F82" i="38" s="1"/>
  <c r="F415" i="39"/>
  <c r="F431" i="39" s="1"/>
  <c r="G442" i="39"/>
  <c r="G446" i="39"/>
  <c r="I304" i="38"/>
  <c r="I314" i="38" s="1"/>
  <c r="I227" i="38" s="1"/>
  <c r="N452" i="39"/>
  <c r="N444" i="39"/>
  <c r="N454" i="39" s="1"/>
  <c r="N443" i="39"/>
  <c r="N453" i="39" s="1"/>
  <c r="H446" i="39"/>
  <c r="H442" i="39"/>
  <c r="L248" i="39"/>
  <c r="K432" i="39"/>
  <c r="K437" i="39" s="1"/>
  <c r="N6" i="39"/>
  <c r="N82" i="39"/>
  <c r="N5" i="39" s="1"/>
  <c r="I250" i="39"/>
  <c r="N250" i="39"/>
  <c r="K80" i="39"/>
  <c r="K77" i="39"/>
  <c r="K79" i="39" s="1"/>
  <c r="L77" i="39"/>
  <c r="L79" i="39" s="1"/>
  <c r="L80" i="39"/>
  <c r="F222" i="38"/>
  <c r="H432" i="39"/>
  <c r="H437" i="39" s="1"/>
  <c r="J77" i="39"/>
  <c r="J79" i="39" s="1"/>
  <c r="J80" i="39"/>
  <c r="F104" i="39"/>
  <c r="G105" i="39"/>
  <c r="F105" i="39" s="1"/>
  <c r="K256" i="39"/>
  <c r="K255" i="39" s="1"/>
  <c r="K253" i="39" s="1"/>
  <c r="K254" i="39" s="1"/>
  <c r="K114" i="39" s="1"/>
  <c r="K113" i="39" s="1"/>
  <c r="K109" i="39" s="1"/>
  <c r="K117" i="39" s="1"/>
  <c r="G323" i="39"/>
  <c r="F324" i="39"/>
  <c r="L324" i="38"/>
  <c r="L50" i="38"/>
  <c r="L51" i="38" s="1"/>
  <c r="J179" i="38"/>
  <c r="M307" i="37"/>
  <c r="N396" i="37"/>
  <c r="F178" i="38"/>
  <c r="G181" i="38"/>
  <c r="F181" i="38" s="1"/>
  <c r="J70" i="39"/>
  <c r="J71" i="39" s="1"/>
  <c r="N63" i="39"/>
  <c r="N64" i="39" s="1"/>
  <c r="N432" i="39"/>
  <c r="N437" i="39" s="1"/>
  <c r="G180" i="37"/>
  <c r="F180" i="37" s="1"/>
  <c r="F91" i="37"/>
  <c r="J462" i="39"/>
  <c r="J465" i="39" s="1"/>
  <c r="J69" i="39"/>
  <c r="J72" i="39" s="1"/>
  <c r="G225" i="39"/>
  <c r="F225" i="39" s="1"/>
  <c r="F178" i="39"/>
  <c r="I463" i="39"/>
  <c r="I70" i="39"/>
  <c r="I71" i="39" s="1"/>
  <c r="H330" i="38"/>
  <c r="H329" i="38" s="1"/>
  <c r="H327" i="38" s="1"/>
  <c r="H328" i="38" s="1"/>
  <c r="H226" i="38" s="1"/>
  <c r="H225" i="38" s="1"/>
  <c r="H221" i="38" s="1"/>
  <c r="H229" i="38" s="1"/>
  <c r="K461" i="39"/>
  <c r="I27" i="8"/>
  <c r="L328" i="39" l="1"/>
  <c r="I198" i="41"/>
  <c r="F202" i="39"/>
  <c r="F218" i="39" s="1"/>
  <c r="G233" i="39"/>
  <c r="F233" i="39" s="1"/>
  <c r="G229" i="39"/>
  <c r="K495" i="39"/>
  <c r="G58" i="39"/>
  <c r="F58" i="39" s="1"/>
  <c r="I322" i="38"/>
  <c r="G177" i="38"/>
  <c r="L110" i="41"/>
  <c r="L108" i="41" s="1"/>
  <c r="L102" i="41" s="1"/>
  <c r="L113" i="41" s="1"/>
  <c r="O228" i="37"/>
  <c r="N328" i="39"/>
  <c r="M503" i="39"/>
  <c r="L248" i="41"/>
  <c r="K289" i="37"/>
  <c r="J288" i="37"/>
  <c r="L286" i="37"/>
  <c r="K285" i="37"/>
  <c r="L281" i="37"/>
  <c r="K280" i="37"/>
  <c r="J279" i="37"/>
  <c r="L277" i="37"/>
  <c r="J289" i="37"/>
  <c r="L287" i="37"/>
  <c r="K286" i="37"/>
  <c r="J285" i="37"/>
  <c r="K281" i="37"/>
  <c r="J280" i="37"/>
  <c r="L278" i="37"/>
  <c r="K277" i="37"/>
  <c r="L288" i="37"/>
  <c r="K287" i="37"/>
  <c r="J286" i="37"/>
  <c r="J281" i="37"/>
  <c r="L279" i="37"/>
  <c r="K278" i="37"/>
  <c r="J277" i="37"/>
  <c r="L285" i="37"/>
  <c r="L289" i="37"/>
  <c r="L280" i="37"/>
  <c r="K288" i="37"/>
  <c r="K279" i="37"/>
  <c r="J287" i="37"/>
  <c r="J278" i="37"/>
  <c r="H180" i="40"/>
  <c r="F180" i="40" s="1"/>
  <c r="F91" i="40"/>
  <c r="K108" i="40"/>
  <c r="K102" i="40" s="1"/>
  <c r="K113" i="40" s="1"/>
  <c r="G201" i="41"/>
  <c r="J202" i="41"/>
  <c r="J200" i="41"/>
  <c r="H200" i="41"/>
  <c r="H202" i="41"/>
  <c r="I202" i="41"/>
  <c r="I200" i="41"/>
  <c r="I215" i="41" s="1"/>
  <c r="I216" i="41" s="1"/>
  <c r="K200" i="41"/>
  <c r="K202" i="41"/>
  <c r="M108" i="41"/>
  <c r="M102" i="41" s="1"/>
  <c r="M113" i="41" s="1"/>
  <c r="G200" i="41"/>
  <c r="G202" i="41"/>
  <c r="K201" i="41"/>
  <c r="K198" i="41"/>
  <c r="H201" i="41"/>
  <c r="H198" i="41"/>
  <c r="N110" i="41"/>
  <c r="J201" i="41"/>
  <c r="J198" i="41"/>
  <c r="L432" i="41"/>
  <c r="L396" i="41"/>
  <c r="N248" i="41"/>
  <c r="N109" i="41"/>
  <c r="M471" i="41"/>
  <c r="M466" i="41"/>
  <c r="M250" i="41"/>
  <c r="L62" i="41"/>
  <c r="N466" i="41"/>
  <c r="N471" i="41"/>
  <c r="L250" i="41"/>
  <c r="M69" i="41"/>
  <c r="M70" i="41" s="1"/>
  <c r="N324" i="40"/>
  <c r="N318" i="40" s="1"/>
  <c r="N329" i="40" s="1"/>
  <c r="K465" i="40"/>
  <c r="K69" i="40"/>
  <c r="K70" i="40" s="1"/>
  <c r="M466" i="40"/>
  <c r="M471" i="40"/>
  <c r="J463" i="40"/>
  <c r="J325" i="40"/>
  <c r="N465" i="40"/>
  <c r="N69" i="40"/>
  <c r="N70" i="40" s="1"/>
  <c r="L452" i="40"/>
  <c r="L444" i="40"/>
  <c r="L454" i="40" s="1"/>
  <c r="L443" i="40"/>
  <c r="L453" i="40" s="1"/>
  <c r="K250" i="40"/>
  <c r="L250" i="40"/>
  <c r="J326" i="40"/>
  <c r="N251" i="40"/>
  <c r="N256" i="40"/>
  <c r="K324" i="40"/>
  <c r="K318" i="40" s="1"/>
  <c r="K329" i="40" s="1"/>
  <c r="J463" i="39"/>
  <c r="F323" i="39"/>
  <c r="L82" i="39"/>
  <c r="L5" i="39" s="1"/>
  <c r="L6" i="39"/>
  <c r="L250" i="39"/>
  <c r="N462" i="39"/>
  <c r="N465" i="39" s="1"/>
  <c r="N69" i="39"/>
  <c r="N72" i="39" s="1"/>
  <c r="K82" i="39"/>
  <c r="K5" i="39" s="1"/>
  <c r="K6" i="39"/>
  <c r="I469" i="39"/>
  <c r="I468" i="39" s="1"/>
  <c r="I466" i="39" s="1"/>
  <c r="I467" i="39" s="1"/>
  <c r="I327" i="39" s="1"/>
  <c r="I326" i="39" s="1"/>
  <c r="I322" i="39" s="1"/>
  <c r="I330" i="39" s="1"/>
  <c r="L330" i="38"/>
  <c r="L329" i="38" s="1"/>
  <c r="L327" i="38" s="1"/>
  <c r="L328" i="38" s="1"/>
  <c r="L226" i="38" s="1"/>
  <c r="L225" i="38" s="1"/>
  <c r="L221" i="38" s="1"/>
  <c r="L229" i="38" s="1"/>
  <c r="F219" i="39"/>
  <c r="F224" i="39" s="1"/>
  <c r="G224" i="39"/>
  <c r="G249" i="39" s="1"/>
  <c r="J82" i="39"/>
  <c r="J5" i="39" s="1"/>
  <c r="J6" i="39"/>
  <c r="H462" i="39"/>
  <c r="H465" i="39" s="1"/>
  <c r="H69" i="39"/>
  <c r="H72" i="39" s="1"/>
  <c r="N256" i="39"/>
  <c r="N255" i="39" s="1"/>
  <c r="N253" i="39" s="1"/>
  <c r="N254" i="39" s="1"/>
  <c r="N114" i="39" s="1"/>
  <c r="N113" i="39" s="1"/>
  <c r="N109" i="39" s="1"/>
  <c r="N117" i="39" s="1"/>
  <c r="H443" i="39"/>
  <c r="H453" i="39" s="1"/>
  <c r="H452" i="39"/>
  <c r="H444" i="39"/>
  <c r="H454" i="39" s="1"/>
  <c r="N461" i="39"/>
  <c r="G18" i="39"/>
  <c r="F18" i="39" s="1"/>
  <c r="M250" i="39"/>
  <c r="M70" i="39"/>
  <c r="M71" i="39" s="1"/>
  <c r="G110" i="39"/>
  <c r="F111" i="39"/>
  <c r="L461" i="39"/>
  <c r="I185" i="38"/>
  <c r="I184" i="38" s="1"/>
  <c r="I182" i="38" s="1"/>
  <c r="I183" i="38" s="1"/>
  <c r="I81" i="38" s="1"/>
  <c r="I80" i="38" s="1"/>
  <c r="I76" i="38" s="1"/>
  <c r="I84" i="38" s="1"/>
  <c r="K70" i="39"/>
  <c r="K71" i="39" s="1"/>
  <c r="M289" i="39"/>
  <c r="I289" i="39"/>
  <c r="M288" i="39"/>
  <c r="I288" i="39"/>
  <c r="M287" i="39"/>
  <c r="I287" i="39"/>
  <c r="M286" i="39"/>
  <c r="I286" i="39"/>
  <c r="M285" i="39"/>
  <c r="M290" i="39" s="1"/>
  <c r="I285" i="39"/>
  <c r="I290" i="39" s="1"/>
  <c r="M281" i="39"/>
  <c r="I281" i="39"/>
  <c r="M280" i="39"/>
  <c r="I280" i="39"/>
  <c r="M279" i="39"/>
  <c r="I279" i="39"/>
  <c r="M278" i="39"/>
  <c r="I278" i="39"/>
  <c r="M277" i="39"/>
  <c r="I277" i="39"/>
  <c r="I282" i="39" s="1"/>
  <c r="L289" i="39"/>
  <c r="H289" i="39"/>
  <c r="L288" i="39"/>
  <c r="H288" i="39"/>
  <c r="L287" i="39"/>
  <c r="H287" i="39"/>
  <c r="L286" i="39"/>
  <c r="H286" i="39"/>
  <c r="L285" i="39"/>
  <c r="L290" i="39" s="1"/>
  <c r="H285" i="39"/>
  <c r="L281" i="39"/>
  <c r="H281" i="39"/>
  <c r="L280" i="39"/>
  <c r="H280" i="39"/>
  <c r="L279" i="39"/>
  <c r="H279" i="39"/>
  <c r="L278" i="39"/>
  <c r="H278" i="39"/>
  <c r="L277" i="39"/>
  <c r="H277" i="39"/>
  <c r="H282" i="39" s="1"/>
  <c r="K289" i="39"/>
  <c r="G289" i="39"/>
  <c r="K288" i="39"/>
  <c r="G288" i="39"/>
  <c r="K287" i="39"/>
  <c r="G287" i="39"/>
  <c r="K286" i="39"/>
  <c r="G286" i="39"/>
  <c r="K285" i="39"/>
  <c r="G285" i="39"/>
  <c r="K281" i="39"/>
  <c r="G281" i="39"/>
  <c r="K280" i="39"/>
  <c r="G280" i="39"/>
  <c r="K279" i="39"/>
  <c r="G279" i="39"/>
  <c r="K278" i="39"/>
  <c r="G278" i="39"/>
  <c r="K277" i="39"/>
  <c r="K282" i="39" s="1"/>
  <c r="G277" i="39"/>
  <c r="N288" i="39"/>
  <c r="N286" i="39"/>
  <c r="N280" i="39"/>
  <c r="N278" i="39"/>
  <c r="J288" i="39"/>
  <c r="J286" i="39"/>
  <c r="J280" i="39"/>
  <c r="J278" i="39"/>
  <c r="N289" i="39"/>
  <c r="N287" i="39"/>
  <c r="N285" i="39"/>
  <c r="N281" i="39"/>
  <c r="N279" i="39"/>
  <c r="N277" i="39"/>
  <c r="N282" i="39" s="1"/>
  <c r="J287" i="39"/>
  <c r="J277" i="39"/>
  <c r="J285" i="39"/>
  <c r="J281" i="39"/>
  <c r="J289" i="39"/>
  <c r="J279" i="39"/>
  <c r="O289" i="37"/>
  <c r="H289" i="37"/>
  <c r="O288" i="37"/>
  <c r="H288" i="37"/>
  <c r="O287" i="37"/>
  <c r="H287" i="37"/>
  <c r="O286" i="37"/>
  <c r="H286" i="37"/>
  <c r="O285" i="37"/>
  <c r="H285" i="37"/>
  <c r="O281" i="37"/>
  <c r="H281" i="37"/>
  <c r="O280" i="37"/>
  <c r="H280" i="37"/>
  <c r="O279" i="37"/>
  <c r="H279" i="37"/>
  <c r="O278" i="37"/>
  <c r="H278" i="37"/>
  <c r="O277" i="37"/>
  <c r="H277" i="37"/>
  <c r="N289" i="37"/>
  <c r="G289" i="37"/>
  <c r="N288" i="37"/>
  <c r="G288" i="37"/>
  <c r="N287" i="37"/>
  <c r="G287" i="37"/>
  <c r="N286" i="37"/>
  <c r="G286" i="37"/>
  <c r="N285" i="37"/>
  <c r="G285" i="37"/>
  <c r="N281" i="37"/>
  <c r="G281" i="37"/>
  <c r="N280" i="37"/>
  <c r="G280" i="37"/>
  <c r="N279" i="37"/>
  <c r="G279" i="37"/>
  <c r="N278" i="37"/>
  <c r="G278" i="37"/>
  <c r="N277" i="37"/>
  <c r="G277" i="37"/>
  <c r="Q289" i="37"/>
  <c r="M289" i="37"/>
  <c r="Q288" i="37"/>
  <c r="M288" i="37"/>
  <c r="Q287" i="37"/>
  <c r="M287" i="37"/>
  <c r="Q286" i="37"/>
  <c r="M286" i="37"/>
  <c r="Q285" i="37"/>
  <c r="M285" i="37"/>
  <c r="Q281" i="37"/>
  <c r="M281" i="37"/>
  <c r="Q280" i="37"/>
  <c r="M280" i="37"/>
  <c r="Q279" i="37"/>
  <c r="M279" i="37"/>
  <c r="Q278" i="37"/>
  <c r="M278" i="37"/>
  <c r="Q277" i="37"/>
  <c r="M277" i="37"/>
  <c r="P289" i="37"/>
  <c r="P287" i="37"/>
  <c r="P285" i="37"/>
  <c r="P281" i="37"/>
  <c r="P279" i="37"/>
  <c r="P277" i="37"/>
  <c r="I288" i="37"/>
  <c r="I278" i="37"/>
  <c r="I289" i="37"/>
  <c r="I287" i="37"/>
  <c r="I285" i="37"/>
  <c r="I281" i="37"/>
  <c r="I279" i="37"/>
  <c r="I277" i="37"/>
  <c r="I286" i="37"/>
  <c r="I280" i="37"/>
  <c r="P288" i="37"/>
  <c r="P286" i="37"/>
  <c r="P280" i="37"/>
  <c r="P278" i="37"/>
  <c r="I256" i="39"/>
  <c r="I255" i="39" s="1"/>
  <c r="I253" i="39" s="1"/>
  <c r="I254" i="39" s="1"/>
  <c r="I114" i="39" s="1"/>
  <c r="I113" i="39" s="1"/>
  <c r="I109" i="39" s="1"/>
  <c r="I117" i="39" s="1"/>
  <c r="K462" i="39"/>
  <c r="K465" i="39" s="1"/>
  <c r="K69" i="39"/>
  <c r="K72" i="39" s="1"/>
  <c r="F446" i="39"/>
  <c r="G80" i="39"/>
  <c r="F76" i="39"/>
  <c r="G77" i="39"/>
  <c r="J256" i="39"/>
  <c r="J255" i="39" s="1"/>
  <c r="J253" i="39" s="1"/>
  <c r="J254" i="39" s="1"/>
  <c r="J114" i="39" s="1"/>
  <c r="J113" i="39" s="1"/>
  <c r="J109" i="39" s="1"/>
  <c r="J117" i="39" s="1"/>
  <c r="G323" i="38"/>
  <c r="G305" i="38"/>
  <c r="F305" i="38" s="1"/>
  <c r="F315" i="38" s="1"/>
  <c r="G315" i="38" s="1"/>
  <c r="G303" i="38"/>
  <c r="F303" i="38" s="1"/>
  <c r="F313" i="38" s="1"/>
  <c r="G313" i="38" s="1"/>
  <c r="G49" i="38"/>
  <c r="F432" i="39"/>
  <c r="F437" i="39" s="1"/>
  <c r="M396" i="37"/>
  <c r="I50" i="38"/>
  <c r="I51" i="38" s="1"/>
  <c r="I324" i="38"/>
  <c r="F442" i="39"/>
  <c r="G443" i="39"/>
  <c r="F443" i="39" s="1"/>
  <c r="G444" i="39"/>
  <c r="F177" i="38"/>
  <c r="G179" i="38"/>
  <c r="H82" i="39"/>
  <c r="H5" i="39" s="1"/>
  <c r="H6" i="39"/>
  <c r="F48" i="38"/>
  <c r="F63" i="39"/>
  <c r="G64" i="39"/>
  <c r="F64" i="39" s="1"/>
  <c r="H250" i="39"/>
  <c r="Q464" i="37"/>
  <c r="Q467" i="37" s="1"/>
  <c r="Q437" i="37"/>
  <c r="Q442" i="37" s="1"/>
  <c r="L462" i="39"/>
  <c r="L465" i="39" s="1"/>
  <c r="L69" i="39"/>
  <c r="L72" i="39" s="1"/>
  <c r="L53" i="39"/>
  <c r="H53" i="39"/>
  <c r="K53" i="39"/>
  <c r="G53" i="39"/>
  <c r="N53" i="39"/>
  <c r="J53" i="39"/>
  <c r="M53" i="39"/>
  <c r="I53" i="39"/>
  <c r="K330" i="38"/>
  <c r="K329" i="38" s="1"/>
  <c r="K327" i="38" s="1"/>
  <c r="K328" i="38" s="1"/>
  <c r="K226" i="38" s="1"/>
  <c r="K225" i="38" s="1"/>
  <c r="K221" i="38" s="1"/>
  <c r="K229" i="38" s="1"/>
  <c r="G462" i="39"/>
  <c r="G69" i="39"/>
  <c r="G295" i="39"/>
  <c r="G294" i="39"/>
  <c r="G293" i="39"/>
  <c r="G296" i="39"/>
  <c r="E229" i="39" s="1"/>
  <c r="E239" i="39" s="1"/>
  <c r="J185" i="38"/>
  <c r="J184" i="38" s="1"/>
  <c r="J182" i="38" s="1"/>
  <c r="J183" i="38" s="1"/>
  <c r="J81" i="38" s="1"/>
  <c r="J80" i="38" s="1"/>
  <c r="J76" i="38" s="1"/>
  <c r="J84" i="38" s="1"/>
  <c r="J322" i="38"/>
  <c r="F81" i="39"/>
  <c r="G4" i="39"/>
  <c r="F4" i="39" s="1"/>
  <c r="G508" i="39"/>
  <c r="G507" i="39"/>
  <c r="G509" i="39" s="1"/>
  <c r="E442" i="39" s="1"/>
  <c r="E452" i="39" s="1"/>
  <c r="G506" i="39"/>
  <c r="I46" i="9"/>
  <c r="I44" i="9"/>
  <c r="I43" i="9"/>
  <c r="I42" i="9"/>
  <c r="I41" i="9"/>
  <c r="I40" i="9"/>
  <c r="I39" i="9"/>
  <c r="I38" i="9"/>
  <c r="I37" i="9"/>
  <c r="I36" i="9"/>
  <c r="I35" i="9"/>
  <c r="I34" i="9"/>
  <c r="I33" i="9"/>
  <c r="I31" i="9"/>
  <c r="I30" i="9"/>
  <c r="I29" i="9"/>
  <c r="M71" i="9"/>
  <c r="I69" i="9"/>
  <c r="I68" i="9"/>
  <c r="I67" i="9"/>
  <c r="I66" i="9"/>
  <c r="I65" i="9"/>
  <c r="I64" i="9"/>
  <c r="I63" i="9"/>
  <c r="I62" i="9"/>
  <c r="I61" i="9"/>
  <c r="I60" i="9"/>
  <c r="I59" i="9"/>
  <c r="I58" i="9"/>
  <c r="I57" i="9"/>
  <c r="I56" i="9"/>
  <c r="I55" i="9"/>
  <c r="I54" i="9"/>
  <c r="I53" i="9"/>
  <c r="I52" i="9"/>
  <c r="I77" i="34"/>
  <c r="I53" i="34"/>
  <c r="I54" i="34"/>
  <c r="I32" i="9" l="1"/>
  <c r="G230" i="39"/>
  <c r="F230" i="39" s="1"/>
  <c r="F229" i="39"/>
  <c r="F231" i="39" s="1"/>
  <c r="F241" i="39" s="1"/>
  <c r="G241" i="39" s="1"/>
  <c r="G231" i="39"/>
  <c r="M282" i="39"/>
  <c r="I45" i="9"/>
  <c r="H290" i="39"/>
  <c r="J282" i="39"/>
  <c r="J290" i="39"/>
  <c r="L282" i="39"/>
  <c r="N108" i="41"/>
  <c r="N102" i="41" s="1"/>
  <c r="N113" i="41" s="1"/>
  <c r="G290" i="39"/>
  <c r="I70" i="9"/>
  <c r="K290" i="39"/>
  <c r="N290" i="39"/>
  <c r="G282" i="39"/>
  <c r="L290" i="37"/>
  <c r="J290" i="37"/>
  <c r="L282" i="37"/>
  <c r="L197" i="37" s="1"/>
  <c r="L198" i="37" s="1"/>
  <c r="J282" i="37"/>
  <c r="J197" i="37" s="1"/>
  <c r="L201" i="37"/>
  <c r="P290" i="37"/>
  <c r="K290" i="37"/>
  <c r="I282" i="37"/>
  <c r="I197" i="37" s="1"/>
  <c r="M290" i="37"/>
  <c r="G290" i="37"/>
  <c r="H290" i="37"/>
  <c r="K282" i="37"/>
  <c r="K197" i="37" s="1"/>
  <c r="P282" i="37"/>
  <c r="I290" i="37"/>
  <c r="Q290" i="37"/>
  <c r="N290" i="37"/>
  <c r="O290" i="37"/>
  <c r="M282" i="37"/>
  <c r="M197" i="37" s="1"/>
  <c r="G282" i="37"/>
  <c r="G197" i="37" s="1"/>
  <c r="H282" i="37"/>
  <c r="H197" i="37" s="1"/>
  <c r="Q282" i="37"/>
  <c r="N282" i="37"/>
  <c r="N197" i="37" s="1"/>
  <c r="O282" i="37"/>
  <c r="L326" i="40"/>
  <c r="I288" i="40"/>
  <c r="I286" i="40"/>
  <c r="I281" i="40"/>
  <c r="I279" i="40"/>
  <c r="I277" i="40"/>
  <c r="H288" i="40"/>
  <c r="H286" i="40"/>
  <c r="K288" i="40"/>
  <c r="K286" i="40"/>
  <c r="K281" i="40"/>
  <c r="K279" i="40"/>
  <c r="K277" i="40"/>
  <c r="N281" i="40"/>
  <c r="N277" i="40"/>
  <c r="L281" i="40"/>
  <c r="L277" i="40"/>
  <c r="J281" i="40"/>
  <c r="J277" i="40"/>
  <c r="N288" i="40"/>
  <c r="H280" i="40"/>
  <c r="M286" i="40"/>
  <c r="M279" i="40"/>
  <c r="L288" i="40"/>
  <c r="L286" i="40"/>
  <c r="G280" i="40"/>
  <c r="G278" i="40"/>
  <c r="N278" i="40"/>
  <c r="J285" i="40"/>
  <c r="H278" i="40"/>
  <c r="M289" i="40"/>
  <c r="M287" i="40"/>
  <c r="M285" i="40"/>
  <c r="M280" i="40"/>
  <c r="M278" i="40"/>
  <c r="L289" i="40"/>
  <c r="L287" i="40"/>
  <c r="L285" i="40"/>
  <c r="G288" i="40"/>
  <c r="G286" i="40"/>
  <c r="G281" i="40"/>
  <c r="G279" i="40"/>
  <c r="G277" i="40"/>
  <c r="N280" i="40"/>
  <c r="N289" i="40"/>
  <c r="L280" i="40"/>
  <c r="J289" i="40"/>
  <c r="J280" i="40"/>
  <c r="H285" i="40"/>
  <c r="H281" i="40"/>
  <c r="M288" i="40"/>
  <c r="M281" i="40"/>
  <c r="M277" i="40"/>
  <c r="G289" i="40"/>
  <c r="G285" i="40"/>
  <c r="J286" i="40"/>
  <c r="L278" i="40"/>
  <c r="J278" i="40"/>
  <c r="I289" i="40"/>
  <c r="I287" i="40"/>
  <c r="I285" i="40"/>
  <c r="I280" i="40"/>
  <c r="I278" i="40"/>
  <c r="H289" i="40"/>
  <c r="H287" i="40"/>
  <c r="K289" i="40"/>
  <c r="K287" i="40"/>
  <c r="K285" i="40"/>
  <c r="K280" i="40"/>
  <c r="K278" i="40"/>
  <c r="J288" i="40"/>
  <c r="N279" i="40"/>
  <c r="N287" i="40"/>
  <c r="L279" i="40"/>
  <c r="J287" i="40"/>
  <c r="J279" i="40"/>
  <c r="H279" i="40"/>
  <c r="H277" i="40"/>
  <c r="G287" i="40"/>
  <c r="N285" i="40"/>
  <c r="N286" i="40"/>
  <c r="F198" i="41"/>
  <c r="I105" i="41"/>
  <c r="I104" i="41" s="1"/>
  <c r="I103" i="41" s="1"/>
  <c r="F202" i="41"/>
  <c r="F200" i="41"/>
  <c r="G215" i="41"/>
  <c r="G216" i="41" s="1"/>
  <c r="G105" i="41"/>
  <c r="G104" i="41" s="1"/>
  <c r="K215" i="41"/>
  <c r="K216" i="41" s="1"/>
  <c r="K222" i="41" s="1"/>
  <c r="K227" i="41" s="1"/>
  <c r="F201" i="41"/>
  <c r="J105" i="41"/>
  <c r="J104" i="41" s="1"/>
  <c r="J103" i="41" s="1"/>
  <c r="J215" i="41"/>
  <c r="J216" i="41" s="1"/>
  <c r="I249" i="41"/>
  <c r="I252" i="41" s="1"/>
  <c r="I222" i="41"/>
  <c r="I227" i="41" s="1"/>
  <c r="H105" i="41"/>
  <c r="H104" i="41" s="1"/>
  <c r="H103" i="41" s="1"/>
  <c r="H215" i="41"/>
  <c r="H216" i="41" s="1"/>
  <c r="K105" i="41"/>
  <c r="K104" i="41" s="1"/>
  <c r="K103" i="41" s="1"/>
  <c r="L251" i="41"/>
  <c r="L256" i="41"/>
  <c r="M256" i="41"/>
  <c r="M251" i="41"/>
  <c r="N250" i="41"/>
  <c r="N69" i="41"/>
  <c r="N70" i="41" s="1"/>
  <c r="L464" i="41"/>
  <c r="L437" i="41"/>
  <c r="L251" i="40"/>
  <c r="L256" i="40"/>
  <c r="L463" i="40"/>
  <c r="L325" i="40"/>
  <c r="N471" i="40"/>
  <c r="N466" i="40"/>
  <c r="J465" i="40"/>
  <c r="J69" i="40"/>
  <c r="J70" i="40" s="1"/>
  <c r="K466" i="40"/>
  <c r="K471" i="40"/>
  <c r="K256" i="40"/>
  <c r="K251" i="40"/>
  <c r="J324" i="40"/>
  <c r="J318" i="40" s="1"/>
  <c r="J329" i="40" s="1"/>
  <c r="G72" i="39"/>
  <c r="F72" i="39" s="1"/>
  <c r="F69" i="39"/>
  <c r="G52" i="38"/>
  <c r="F52" i="38" s="1"/>
  <c r="F49" i="38"/>
  <c r="N463" i="39"/>
  <c r="N70" i="39"/>
  <c r="N71" i="39" s="1"/>
  <c r="F240" i="39"/>
  <c r="G240" i="39" s="1"/>
  <c r="G115" i="39" s="1"/>
  <c r="F115" i="39" s="1"/>
  <c r="J324" i="38"/>
  <c r="J50" i="38"/>
  <c r="J51" i="38" s="1"/>
  <c r="F51" i="38" s="1"/>
  <c r="M66" i="39"/>
  <c r="I66" i="39"/>
  <c r="L66" i="39"/>
  <c r="H66" i="39"/>
  <c r="K66" i="39"/>
  <c r="G66" i="39"/>
  <c r="J66" i="39"/>
  <c r="N66" i="39"/>
  <c r="G304" i="38"/>
  <c r="F304" i="38" s="1"/>
  <c r="F314" i="38" s="1"/>
  <c r="G314" i="38" s="1"/>
  <c r="G227" i="38" s="1"/>
  <c r="F227" i="38" s="1"/>
  <c r="F77" i="39"/>
  <c r="G79" i="39"/>
  <c r="F79" i="39" s="1"/>
  <c r="F110" i="39"/>
  <c r="M256" i="39"/>
  <c r="M255" i="39" s="1"/>
  <c r="M253" i="39" s="1"/>
  <c r="M254" i="39" s="1"/>
  <c r="M114" i="39" s="1"/>
  <c r="M113" i="39" s="1"/>
  <c r="M109" i="39" s="1"/>
  <c r="M117" i="39" s="1"/>
  <c r="L256" i="39"/>
  <c r="L255" i="39" s="1"/>
  <c r="L253" i="39" s="1"/>
  <c r="L254" i="39" s="1"/>
  <c r="L114" i="39" s="1"/>
  <c r="L113" i="39" s="1"/>
  <c r="L109" i="39" s="1"/>
  <c r="L117" i="39" s="1"/>
  <c r="F462" i="39"/>
  <c r="G465" i="39"/>
  <c r="F465" i="39" s="1"/>
  <c r="G185" i="38"/>
  <c r="F185" i="38" s="1"/>
  <c r="F179" i="38"/>
  <c r="F453" i="39"/>
  <c r="G453" i="39" s="1"/>
  <c r="I330" i="38"/>
  <c r="I329" i="38" s="1"/>
  <c r="I327" i="38" s="1"/>
  <c r="I328" i="38" s="1"/>
  <c r="I226" i="38" s="1"/>
  <c r="I225" i="38" s="1"/>
  <c r="I221" i="38" s="1"/>
  <c r="I229" i="38" s="1"/>
  <c r="K463" i="39"/>
  <c r="L463" i="39"/>
  <c r="L70" i="39"/>
  <c r="L71" i="39" s="1"/>
  <c r="H461" i="39"/>
  <c r="F249" i="39"/>
  <c r="G252" i="39"/>
  <c r="F252" i="39" s="1"/>
  <c r="J469" i="39"/>
  <c r="J468" i="39" s="1"/>
  <c r="J466" i="39" s="1"/>
  <c r="J467" i="39" s="1"/>
  <c r="J327" i="39" s="1"/>
  <c r="J326" i="39" s="1"/>
  <c r="J322" i="39" s="1"/>
  <c r="J330" i="39" s="1"/>
  <c r="Q443" i="37"/>
  <c r="Q444" i="37"/>
  <c r="H256" i="39"/>
  <c r="H255" i="39" s="1"/>
  <c r="H253" i="39" s="1"/>
  <c r="H254" i="39" s="1"/>
  <c r="H114" i="39" s="1"/>
  <c r="H113" i="39" s="1"/>
  <c r="H109" i="39" s="1"/>
  <c r="H117" i="39" s="1"/>
  <c r="F452" i="39"/>
  <c r="G452" i="39" s="1"/>
  <c r="F444" i="39"/>
  <c r="F454" i="39" s="1"/>
  <c r="G454" i="39" s="1"/>
  <c r="F323" i="38"/>
  <c r="G326" i="38"/>
  <c r="F326" i="38" s="1"/>
  <c r="F80" i="39"/>
  <c r="G82" i="39"/>
  <c r="G6" i="39"/>
  <c r="F6" i="39" s="1"/>
  <c r="H328" i="39"/>
  <c r="I47" i="9"/>
  <c r="F239" i="39" l="1"/>
  <c r="G239" i="39" s="1"/>
  <c r="G290" i="40"/>
  <c r="G199" i="40" s="1"/>
  <c r="N201" i="37"/>
  <c r="N198" i="37"/>
  <c r="M201" i="37"/>
  <c r="M198" i="37"/>
  <c r="M215" i="37" s="1"/>
  <c r="M216" i="37" s="1"/>
  <c r="K201" i="37"/>
  <c r="K198" i="37"/>
  <c r="I198" i="37"/>
  <c r="I201" i="37"/>
  <c r="L215" i="37"/>
  <c r="L216" i="37" s="1"/>
  <c r="L105" i="37"/>
  <c r="L104" i="37" s="1"/>
  <c r="L103" i="37" s="1"/>
  <c r="G201" i="37"/>
  <c r="G198" i="37"/>
  <c r="H201" i="37"/>
  <c r="H198" i="37"/>
  <c r="J201" i="37"/>
  <c r="J198" i="37"/>
  <c r="I290" i="40"/>
  <c r="I199" i="40" s="1"/>
  <c r="L324" i="40"/>
  <c r="L318" i="40" s="1"/>
  <c r="L329" i="40" s="1"/>
  <c r="N290" i="40"/>
  <c r="K290" i="40"/>
  <c r="H282" i="40"/>
  <c r="G200" i="40"/>
  <c r="G202" i="40"/>
  <c r="G282" i="40"/>
  <c r="J282" i="40"/>
  <c r="N282" i="40"/>
  <c r="L290" i="40"/>
  <c r="I282" i="40"/>
  <c r="M282" i="40"/>
  <c r="H290" i="40"/>
  <c r="H199" i="40" s="1"/>
  <c r="M290" i="40"/>
  <c r="J290" i="40"/>
  <c r="L282" i="40"/>
  <c r="K282" i="40"/>
  <c r="K249" i="41"/>
  <c r="K252" i="41" s="1"/>
  <c r="H249" i="41"/>
  <c r="H252" i="41" s="1"/>
  <c r="H222" i="41"/>
  <c r="H227" i="41" s="1"/>
  <c r="I229" i="41"/>
  <c r="I228" i="41"/>
  <c r="F215" i="41"/>
  <c r="F105" i="41"/>
  <c r="K229" i="41"/>
  <c r="K228" i="41"/>
  <c r="J222" i="41"/>
  <c r="J227" i="41" s="1"/>
  <c r="J249" i="41"/>
  <c r="J252" i="41" s="1"/>
  <c r="G222" i="41"/>
  <c r="F216" i="41"/>
  <c r="G249" i="41"/>
  <c r="G103" i="41"/>
  <c r="F103" i="41" s="1"/>
  <c r="F104" i="41"/>
  <c r="L442" i="41"/>
  <c r="L467" i="41"/>
  <c r="N251" i="41"/>
  <c r="N256" i="41"/>
  <c r="J471" i="40"/>
  <c r="J466" i="40"/>
  <c r="L465" i="40"/>
  <c r="L69" i="40"/>
  <c r="L70" i="40" s="1"/>
  <c r="E183" i="38"/>
  <c r="L53" i="38"/>
  <c r="H53" i="38"/>
  <c r="K53" i="38"/>
  <c r="G53" i="38"/>
  <c r="J53" i="38"/>
  <c r="I53" i="38"/>
  <c r="G5" i="39"/>
  <c r="F5" i="39" s="1"/>
  <c r="F82" i="39"/>
  <c r="G461" i="39"/>
  <c r="K469" i="39"/>
  <c r="K468" i="39" s="1"/>
  <c r="K466" i="39" s="1"/>
  <c r="K467" i="39" s="1"/>
  <c r="K327" i="39" s="1"/>
  <c r="K326" i="39" s="1"/>
  <c r="K322" i="39" s="1"/>
  <c r="K330" i="39" s="1"/>
  <c r="G328" i="39"/>
  <c r="F328" i="39" s="1"/>
  <c r="F66" i="39"/>
  <c r="F67" i="39" s="1"/>
  <c r="J330" i="38"/>
  <c r="J329" i="38" s="1"/>
  <c r="J327" i="38" s="1"/>
  <c r="J328" i="38" s="1"/>
  <c r="J226" i="38" s="1"/>
  <c r="J225" i="38" s="1"/>
  <c r="J221" i="38" s="1"/>
  <c r="J229" i="38" s="1"/>
  <c r="H463" i="39"/>
  <c r="H70" i="39"/>
  <c r="H71" i="39" s="1"/>
  <c r="L469" i="39"/>
  <c r="L468" i="39" s="1"/>
  <c r="L466" i="39" s="1"/>
  <c r="L467" i="39" s="1"/>
  <c r="L327" i="39" s="1"/>
  <c r="L326" i="39" s="1"/>
  <c r="L322" i="39" s="1"/>
  <c r="L330" i="39" s="1"/>
  <c r="G322" i="38"/>
  <c r="N469" i="39"/>
  <c r="N468" i="39" s="1"/>
  <c r="N466" i="39" s="1"/>
  <c r="N467" i="39" s="1"/>
  <c r="N327" i="39" s="1"/>
  <c r="N326" i="39" s="1"/>
  <c r="N322" i="39" s="1"/>
  <c r="N330" i="39" s="1"/>
  <c r="G248" i="39"/>
  <c r="H304" i="35"/>
  <c r="H305" i="35"/>
  <c r="H306" i="35"/>
  <c r="H307" i="35"/>
  <c r="H308" i="35"/>
  <c r="H309" i="35"/>
  <c r="H310" i="35"/>
  <c r="H311" i="35"/>
  <c r="H312" i="35"/>
  <c r="H313" i="35"/>
  <c r="H303" i="35"/>
  <c r="H293" i="35"/>
  <c r="H294" i="35"/>
  <c r="H295" i="35"/>
  <c r="H296" i="35"/>
  <c r="H297" i="35"/>
  <c r="H298" i="35"/>
  <c r="H299" i="35"/>
  <c r="H300" i="35"/>
  <c r="H301" i="35"/>
  <c r="H302" i="35"/>
  <c r="H292" i="35"/>
  <c r="H282" i="35"/>
  <c r="H283" i="35"/>
  <c r="H284" i="35"/>
  <c r="H285" i="35"/>
  <c r="H286" i="35"/>
  <c r="H287" i="35"/>
  <c r="H288" i="35"/>
  <c r="H289" i="35"/>
  <c r="H290" i="35"/>
  <c r="H291" i="35"/>
  <c r="H281" i="35"/>
  <c r="H280" i="35"/>
  <c r="H279" i="35"/>
  <c r="G199" i="35"/>
  <c r="G173" i="35"/>
  <c r="G147" i="35"/>
  <c r="G121" i="35"/>
  <c r="F53" i="38" l="1"/>
  <c r="F54" i="38" s="1"/>
  <c r="M249" i="37"/>
  <c r="M252" i="37" s="1"/>
  <c r="M222" i="37"/>
  <c r="M227" i="37" s="1"/>
  <c r="L222" i="37"/>
  <c r="L227" i="37" s="1"/>
  <c r="L249" i="37"/>
  <c r="L252" i="37" s="1"/>
  <c r="M105" i="37"/>
  <c r="M104" i="37" s="1"/>
  <c r="M103" i="37" s="1"/>
  <c r="F198" i="37"/>
  <c r="K215" i="37"/>
  <c r="K216" i="37" s="1"/>
  <c r="K105" i="37"/>
  <c r="K104" i="37" s="1"/>
  <c r="K103" i="37" s="1"/>
  <c r="J105" i="37"/>
  <c r="J104" i="37" s="1"/>
  <c r="J103" i="37" s="1"/>
  <c r="J215" i="37"/>
  <c r="J216" i="37" s="1"/>
  <c r="H215" i="37"/>
  <c r="H216" i="37" s="1"/>
  <c r="H105" i="37"/>
  <c r="H104" i="37" s="1"/>
  <c r="H103" i="37" s="1"/>
  <c r="F201" i="37"/>
  <c r="G215" i="37"/>
  <c r="G105" i="37"/>
  <c r="I105" i="37"/>
  <c r="I104" i="37" s="1"/>
  <c r="I103" i="37" s="1"/>
  <c r="I215" i="37"/>
  <c r="I216" i="37" s="1"/>
  <c r="N215" i="37"/>
  <c r="N216" i="37" s="1"/>
  <c r="N105" i="37"/>
  <c r="N104" i="37" s="1"/>
  <c r="N103" i="37" s="1"/>
  <c r="P239" i="37"/>
  <c r="Q239" i="37"/>
  <c r="O239" i="37"/>
  <c r="P238" i="37"/>
  <c r="Q238" i="37"/>
  <c r="O238" i="37"/>
  <c r="I200" i="40"/>
  <c r="I202" i="40"/>
  <c r="G215" i="40"/>
  <c r="G105" i="40"/>
  <c r="H202" i="40"/>
  <c r="H200" i="40"/>
  <c r="G227" i="41"/>
  <c r="F222" i="41"/>
  <c r="F224" i="41" s="1"/>
  <c r="H229" i="41"/>
  <c r="H228" i="41"/>
  <c r="G252" i="41"/>
  <c r="F252" i="41" s="1"/>
  <c r="F249" i="41"/>
  <c r="J228" i="41"/>
  <c r="J229" i="41"/>
  <c r="L452" i="41"/>
  <c r="L444" i="41"/>
  <c r="L443" i="41"/>
  <c r="L466" i="40"/>
  <c r="L471" i="40"/>
  <c r="I54" i="38"/>
  <c r="L54" i="38"/>
  <c r="H54" i="38"/>
  <c r="K54" i="38"/>
  <c r="G54" i="38"/>
  <c r="J54" i="38"/>
  <c r="L67" i="39"/>
  <c r="H67" i="39"/>
  <c r="K67" i="39"/>
  <c r="G67" i="39"/>
  <c r="N67" i="39"/>
  <c r="J67" i="39"/>
  <c r="M67" i="39"/>
  <c r="I67" i="39"/>
  <c r="F248" i="39"/>
  <c r="G250" i="39"/>
  <c r="H469" i="39"/>
  <c r="H468" i="39" s="1"/>
  <c r="H466" i="39" s="1"/>
  <c r="H467" i="39" s="1"/>
  <c r="H327" i="39" s="1"/>
  <c r="H326" i="39" s="1"/>
  <c r="H322" i="39" s="1"/>
  <c r="H330" i="39" s="1"/>
  <c r="F461" i="39"/>
  <c r="G463" i="39"/>
  <c r="G70" i="39"/>
  <c r="E184" i="38"/>
  <c r="E185" i="38" s="1"/>
  <c r="G184" i="38" s="1"/>
  <c r="F322" i="38"/>
  <c r="G324" i="38"/>
  <c r="G50" i="38"/>
  <c r="I46" i="34"/>
  <c r="I44" i="34"/>
  <c r="I43" i="34"/>
  <c r="I42" i="34"/>
  <c r="I41" i="34"/>
  <c r="I40" i="34"/>
  <c r="I39" i="34"/>
  <c r="I38" i="34"/>
  <c r="I37" i="34"/>
  <c r="I36" i="34"/>
  <c r="I35" i="34"/>
  <c r="I45" i="34" s="1"/>
  <c r="G22" i="40" s="1"/>
  <c r="I34" i="34"/>
  <c r="I33" i="34"/>
  <c r="I31" i="34"/>
  <c r="I29" i="34"/>
  <c r="H6" i="35"/>
  <c r="L22" i="37" l="1"/>
  <c r="F22" i="40"/>
  <c r="G314" i="40"/>
  <c r="F314" i="40" s="1"/>
  <c r="Q110" i="37"/>
  <c r="I249" i="37"/>
  <c r="I252" i="37" s="1"/>
  <c r="I222" i="37"/>
  <c r="I227" i="37" s="1"/>
  <c r="J222" i="37"/>
  <c r="J227" i="37" s="1"/>
  <c r="J249" i="37"/>
  <c r="J252" i="37" s="1"/>
  <c r="F105" i="37"/>
  <c r="G104" i="37"/>
  <c r="L229" i="37"/>
  <c r="L228" i="37"/>
  <c r="M228" i="37"/>
  <c r="M229" i="37"/>
  <c r="N222" i="37"/>
  <c r="N227" i="37" s="1"/>
  <c r="N249" i="37"/>
  <c r="N252" i="37" s="1"/>
  <c r="F215" i="37"/>
  <c r="G216" i="37"/>
  <c r="H249" i="37"/>
  <c r="H252" i="37" s="1"/>
  <c r="H222" i="37"/>
  <c r="H227" i="37" s="1"/>
  <c r="K222" i="37"/>
  <c r="K227" i="37" s="1"/>
  <c r="K249" i="37"/>
  <c r="K252" i="37" s="1"/>
  <c r="O110" i="37"/>
  <c r="P110" i="37"/>
  <c r="Q237" i="37"/>
  <c r="P237" i="37"/>
  <c r="O237" i="37"/>
  <c r="I215" i="40"/>
  <c r="I216" i="40" s="1"/>
  <c r="I105" i="40"/>
  <c r="I104" i="40" s="1"/>
  <c r="I103" i="40" s="1"/>
  <c r="G104" i="40"/>
  <c r="H105" i="40"/>
  <c r="H104" i="40" s="1"/>
  <c r="H103" i="40" s="1"/>
  <c r="H215" i="40"/>
  <c r="H216" i="40" s="1"/>
  <c r="G216" i="40"/>
  <c r="F202" i="40"/>
  <c r="F200" i="40"/>
  <c r="G295" i="41"/>
  <c r="G294" i="41"/>
  <c r="G293" i="41"/>
  <c r="G296" i="41" s="1"/>
  <c r="E227" i="41" s="1"/>
  <c r="G229" i="41"/>
  <c r="F229" i="41" s="1"/>
  <c r="F239" i="41" s="1"/>
  <c r="F227" i="41"/>
  <c r="G228" i="41"/>
  <c r="F228" i="41" s="1"/>
  <c r="L325" i="41"/>
  <c r="L453" i="41"/>
  <c r="L454" i="41"/>
  <c r="F184" i="38"/>
  <c r="G182" i="38"/>
  <c r="G55" i="38"/>
  <c r="F50" i="38"/>
  <c r="F70" i="39"/>
  <c r="G71" i="39"/>
  <c r="F71" i="39" s="1"/>
  <c r="G256" i="39"/>
  <c r="F256" i="39" s="1"/>
  <c r="F250" i="39"/>
  <c r="G330" i="38"/>
  <c r="F330" i="38" s="1"/>
  <c r="F324" i="38"/>
  <c r="G469" i="39"/>
  <c r="F469" i="39" s="1"/>
  <c r="F463" i="39"/>
  <c r="M71" i="34"/>
  <c r="M94" i="34"/>
  <c r="I92" i="34"/>
  <c r="I91" i="34"/>
  <c r="I90" i="34"/>
  <c r="I89" i="34"/>
  <c r="I88" i="34"/>
  <c r="I87" i="34"/>
  <c r="I86" i="34"/>
  <c r="I85" i="34"/>
  <c r="I83" i="34"/>
  <c r="I82" i="34"/>
  <c r="I81" i="34"/>
  <c r="I80" i="34"/>
  <c r="I79" i="34"/>
  <c r="I78" i="34"/>
  <c r="I75" i="34"/>
  <c r="E237" i="41" l="1"/>
  <c r="E228" i="41"/>
  <c r="E238" i="41" s="1"/>
  <c r="F238" i="41" s="1"/>
  <c r="I93" i="34"/>
  <c r="L44" i="37"/>
  <c r="L351" i="37" s="1"/>
  <c r="L317" i="37" s="1"/>
  <c r="L314" i="37"/>
  <c r="F314" i="37" s="1"/>
  <c r="F22" i="37"/>
  <c r="F44" i="37"/>
  <c r="G351" i="37"/>
  <c r="I8" i="34"/>
  <c r="F104" i="37"/>
  <c r="G103" i="37"/>
  <c r="F103" i="37" s="1"/>
  <c r="H229" i="37"/>
  <c r="H228" i="37"/>
  <c r="J228" i="37"/>
  <c r="J229" i="37"/>
  <c r="K228" i="37"/>
  <c r="K229" i="37"/>
  <c r="N229" i="37"/>
  <c r="N228" i="37"/>
  <c r="I228" i="37"/>
  <c r="I229" i="37"/>
  <c r="G249" i="37"/>
  <c r="G222" i="37"/>
  <c r="F216" i="37"/>
  <c r="P454" i="37"/>
  <c r="O454" i="37"/>
  <c r="Q454" i="37"/>
  <c r="P248" i="37"/>
  <c r="P250" i="37" s="1"/>
  <c r="P452" i="37"/>
  <c r="O452" i="37"/>
  <c r="Q452" i="37"/>
  <c r="O248" i="37"/>
  <c r="O250" i="37" s="1"/>
  <c r="P453" i="37"/>
  <c r="O453" i="37"/>
  <c r="Q453" i="37"/>
  <c r="Q248" i="37"/>
  <c r="Q250" i="37" s="1"/>
  <c r="F105" i="40"/>
  <c r="I249" i="40"/>
  <c r="I252" i="40" s="1"/>
  <c r="I222" i="40"/>
  <c r="I227" i="40" s="1"/>
  <c r="F215" i="40"/>
  <c r="H222" i="40"/>
  <c r="H227" i="40" s="1"/>
  <c r="H249" i="40"/>
  <c r="H252" i="40" s="1"/>
  <c r="F104" i="40"/>
  <c r="G103" i="40"/>
  <c r="F103" i="40" s="1"/>
  <c r="G249" i="40"/>
  <c r="G222" i="40"/>
  <c r="F216" i="40"/>
  <c r="F237" i="41"/>
  <c r="J237" i="41" s="1"/>
  <c r="K239" i="41"/>
  <c r="I239" i="41"/>
  <c r="H239" i="41"/>
  <c r="J239" i="41"/>
  <c r="L463" i="41"/>
  <c r="L69" i="41" s="1"/>
  <c r="L70" i="41" s="1"/>
  <c r="L326" i="41"/>
  <c r="L324" i="41" s="1"/>
  <c r="L318" i="41" s="1"/>
  <c r="L329" i="41" s="1"/>
  <c r="E467" i="39"/>
  <c r="E254" i="39"/>
  <c r="E328" i="38"/>
  <c r="F55" i="38"/>
  <c r="G56" i="38"/>
  <c r="F182" i="38"/>
  <c r="G183" i="38"/>
  <c r="G81" i="38" s="1"/>
  <c r="N73" i="39"/>
  <c r="J73" i="39"/>
  <c r="M73" i="39"/>
  <c r="I73" i="39"/>
  <c r="L73" i="39"/>
  <c r="H73" i="39"/>
  <c r="K73" i="39"/>
  <c r="G73" i="39"/>
  <c r="M48" i="34"/>
  <c r="I69" i="34"/>
  <c r="I68" i="34"/>
  <c r="I67" i="34"/>
  <c r="I66" i="34"/>
  <c r="I65" i="34"/>
  <c r="I64" i="34"/>
  <c r="I63" i="34"/>
  <c r="I62" i="34"/>
  <c r="I61" i="34"/>
  <c r="I60" i="34"/>
  <c r="I59" i="34"/>
  <c r="I58" i="34"/>
  <c r="I57" i="34"/>
  <c r="I56" i="34"/>
  <c r="I55" i="34"/>
  <c r="I52" i="34"/>
  <c r="O326" i="37" l="1"/>
  <c r="J238" i="41"/>
  <c r="K238" i="41"/>
  <c r="I238" i="41"/>
  <c r="I110" i="41" s="1"/>
  <c r="H238" i="41"/>
  <c r="H110" i="41" s="1"/>
  <c r="J110" i="41"/>
  <c r="F73" i="39"/>
  <c r="F74" i="39" s="1"/>
  <c r="J74" i="39" s="1"/>
  <c r="G317" i="37"/>
  <c r="F317" i="37" s="1"/>
  <c r="F351" i="37"/>
  <c r="F222" i="37"/>
  <c r="F224" i="37" s="1"/>
  <c r="G227" i="37"/>
  <c r="F249" i="37"/>
  <c r="G252" i="37"/>
  <c r="F252" i="37" s="1"/>
  <c r="Q326" i="37"/>
  <c r="P326" i="37"/>
  <c r="O463" i="37"/>
  <c r="P251" i="37"/>
  <c r="P256" i="37"/>
  <c r="Q251" i="37"/>
  <c r="Q256" i="37"/>
  <c r="O256" i="37"/>
  <c r="O251" i="37"/>
  <c r="Q463" i="37"/>
  <c r="P463" i="37"/>
  <c r="I229" i="40"/>
  <c r="I228" i="40"/>
  <c r="F222" i="40"/>
  <c r="F224" i="40" s="1"/>
  <c r="G227" i="40"/>
  <c r="G252" i="40"/>
  <c r="F252" i="40" s="1"/>
  <c r="F249" i="40"/>
  <c r="H228" i="40"/>
  <c r="H229" i="40"/>
  <c r="K237" i="41"/>
  <c r="K110" i="41"/>
  <c r="I237" i="41"/>
  <c r="I248" i="41" s="1"/>
  <c r="I250" i="41" s="1"/>
  <c r="H237" i="41"/>
  <c r="L465" i="41"/>
  <c r="L471" i="41" s="1"/>
  <c r="G239" i="41"/>
  <c r="J248" i="41"/>
  <c r="J250" i="41" s="1"/>
  <c r="G238" i="41"/>
  <c r="I74" i="39"/>
  <c r="L74" i="39"/>
  <c r="H74" i="39"/>
  <c r="K74" i="39"/>
  <c r="G74" i="39"/>
  <c r="N74" i="39"/>
  <c r="F81" i="38"/>
  <c r="G80" i="38"/>
  <c r="E255" i="39"/>
  <c r="E256" i="39" s="1"/>
  <c r="G255" i="39" s="1"/>
  <c r="G57" i="38"/>
  <c r="F56" i="38"/>
  <c r="G60" i="38"/>
  <c r="E329" i="38"/>
  <c r="E330" i="38" s="1"/>
  <c r="G329" i="38" s="1"/>
  <c r="E468" i="39"/>
  <c r="E469" i="39" s="1"/>
  <c r="G468" i="39" s="1"/>
  <c r="I70" i="34"/>
  <c r="I7" i="34" s="1"/>
  <c r="K248" i="41" l="1"/>
  <c r="K250" i="41" s="1"/>
  <c r="M74" i="39"/>
  <c r="G228" i="37"/>
  <c r="F228" i="37" s="1"/>
  <c r="G229" i="37"/>
  <c r="F229" i="37" s="1"/>
  <c r="F239" i="37" s="1"/>
  <c r="F227" i="37"/>
  <c r="G294" i="37"/>
  <c r="G295" i="37"/>
  <c r="G293" i="37"/>
  <c r="G296" i="37" s="1"/>
  <c r="E227" i="37" s="1"/>
  <c r="P69" i="37"/>
  <c r="P70" i="37" s="1"/>
  <c r="P465" i="37"/>
  <c r="O69" i="37"/>
  <c r="O70" i="37" s="1"/>
  <c r="O465" i="37"/>
  <c r="Q69" i="37"/>
  <c r="Q70" i="37" s="1"/>
  <c r="Q465" i="37"/>
  <c r="G229" i="40"/>
  <c r="F229" i="40" s="1"/>
  <c r="F239" i="40" s="1"/>
  <c r="G228" i="40"/>
  <c r="F228" i="40" s="1"/>
  <c r="F227" i="40"/>
  <c r="G295" i="40"/>
  <c r="G293" i="40"/>
  <c r="G296" i="40" s="1"/>
  <c r="E227" i="40" s="1"/>
  <c r="G294" i="40"/>
  <c r="L466" i="41"/>
  <c r="G237" i="41"/>
  <c r="G248" i="41" s="1"/>
  <c r="H248" i="41"/>
  <c r="H250" i="41" s="1"/>
  <c r="H251" i="41" s="1"/>
  <c r="G110" i="41"/>
  <c r="F110" i="41" s="1"/>
  <c r="I251" i="41"/>
  <c r="I256" i="41"/>
  <c r="J251" i="41"/>
  <c r="J256" i="41"/>
  <c r="K256" i="41"/>
  <c r="K251" i="41"/>
  <c r="F468" i="39"/>
  <c r="G466" i="39"/>
  <c r="F255" i="39"/>
  <c r="G253" i="39"/>
  <c r="F329" i="38"/>
  <c r="G327" i="38"/>
  <c r="G62" i="38"/>
  <c r="F60" i="38"/>
  <c r="G6" i="38"/>
  <c r="F6" i="38" s="1"/>
  <c r="F80" i="38"/>
  <c r="G76" i="38"/>
  <c r="G59" i="38"/>
  <c r="F59" i="38" s="1"/>
  <c r="F57" i="38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6" i="33"/>
  <c r="E237" i="37" l="1"/>
  <c r="F237" i="37" s="1"/>
  <c r="E228" i="37"/>
  <c r="E238" i="37" s="1"/>
  <c r="F238" i="37" s="1"/>
  <c r="E237" i="40"/>
  <c r="E228" i="40"/>
  <c r="E238" i="40" s="1"/>
  <c r="F238" i="40" s="1"/>
  <c r="I237" i="37"/>
  <c r="H237" i="37"/>
  <c r="J237" i="37"/>
  <c r="M237" i="37"/>
  <c r="L237" i="37"/>
  <c r="K237" i="37"/>
  <c r="N237" i="37"/>
  <c r="M239" i="37"/>
  <c r="L239" i="37"/>
  <c r="H239" i="37"/>
  <c r="J239" i="37"/>
  <c r="K239" i="37"/>
  <c r="N239" i="37"/>
  <c r="I239" i="37"/>
  <c r="O466" i="37"/>
  <c r="O471" i="37"/>
  <c r="P466" i="37"/>
  <c r="P471" i="37"/>
  <c r="Q471" i="37"/>
  <c r="Q466" i="37"/>
  <c r="F237" i="40"/>
  <c r="H237" i="40" s="1"/>
  <c r="I239" i="40"/>
  <c r="H239" i="40"/>
  <c r="H256" i="41"/>
  <c r="G250" i="41"/>
  <c r="F248" i="41"/>
  <c r="F253" i="39"/>
  <c r="G254" i="39"/>
  <c r="G114" i="39" s="1"/>
  <c r="F76" i="38"/>
  <c r="G84" i="38"/>
  <c r="F84" i="38" s="1"/>
  <c r="F62" i="38"/>
  <c r="G5" i="38"/>
  <c r="F5" i="38" s="1"/>
  <c r="F327" i="38"/>
  <c r="G328" i="38"/>
  <c r="G226" i="38" s="1"/>
  <c r="F466" i="39"/>
  <c r="G467" i="39"/>
  <c r="G327" i="39" s="1"/>
  <c r="G326" i="35"/>
  <c r="H320" i="35"/>
  <c r="G320" i="35" s="1"/>
  <c r="D316" i="35"/>
  <c r="D315" i="35"/>
  <c r="G312" i="35"/>
  <c r="G297" i="35"/>
  <c r="G296" i="35"/>
  <c r="G294" i="35"/>
  <c r="G293" i="35"/>
  <c r="G292" i="35"/>
  <c r="G291" i="35"/>
  <c r="G290" i="35"/>
  <c r="G289" i="35"/>
  <c r="G288" i="35"/>
  <c r="G287" i="35"/>
  <c r="G286" i="35"/>
  <c r="G285" i="35"/>
  <c r="G284" i="35"/>
  <c r="G283" i="35"/>
  <c r="G282" i="35"/>
  <c r="G280" i="35"/>
  <c r="G279" i="35"/>
  <c r="H95" i="35"/>
  <c r="G90" i="35"/>
  <c r="G72" i="35"/>
  <c r="G71" i="35"/>
  <c r="G70" i="35"/>
  <c r="G69" i="35"/>
  <c r="G68" i="35"/>
  <c r="G67" i="35"/>
  <c r="G66" i="35"/>
  <c r="G65" i="35"/>
  <c r="G64" i="35"/>
  <c r="G63" i="35"/>
  <c r="G62" i="35"/>
  <c r="H56" i="35"/>
  <c r="H73" i="35" s="1"/>
  <c r="G73" i="35" s="1"/>
  <c r="G52" i="35"/>
  <c r="G46" i="35"/>
  <c r="G45" i="35"/>
  <c r="G44" i="35"/>
  <c r="G43" i="35"/>
  <c r="G42" i="35"/>
  <c r="G41" i="35"/>
  <c r="G40" i="35"/>
  <c r="G39" i="35"/>
  <c r="G38" i="35"/>
  <c r="G37" i="35"/>
  <c r="G36" i="35"/>
  <c r="G35" i="35"/>
  <c r="G34" i="35"/>
  <c r="G33" i="35"/>
  <c r="G32" i="35"/>
  <c r="G31" i="35"/>
  <c r="G30" i="35"/>
  <c r="G29" i="35"/>
  <c r="G28" i="35"/>
  <c r="H7" i="35"/>
  <c r="H238" i="40" l="1"/>
  <c r="I238" i="40"/>
  <c r="H238" i="37"/>
  <c r="H110" i="37" s="1"/>
  <c r="N238" i="37"/>
  <c r="N248" i="37" s="1"/>
  <c r="N250" i="37" s="1"/>
  <c r="N256" i="37" s="1"/>
  <c r="J238" i="37"/>
  <c r="J110" i="37" s="1"/>
  <c r="L238" i="37"/>
  <c r="L110" i="37" s="1"/>
  <c r="M238" i="37"/>
  <c r="M110" i="37" s="1"/>
  <c r="K238" i="37"/>
  <c r="K110" i="37" s="1"/>
  <c r="I238" i="37"/>
  <c r="I110" i="37" s="1"/>
  <c r="I237" i="40"/>
  <c r="I248" i="40" s="1"/>
  <c r="I250" i="40" s="1"/>
  <c r="N110" i="37"/>
  <c r="M248" i="37"/>
  <c r="M250" i="37" s="1"/>
  <c r="M251" i="37" s="1"/>
  <c r="G239" i="37"/>
  <c r="G237" i="37"/>
  <c r="J248" i="37"/>
  <c r="J250" i="37" s="1"/>
  <c r="K248" i="37"/>
  <c r="K250" i="37" s="1"/>
  <c r="G239" i="40"/>
  <c r="I110" i="40"/>
  <c r="H248" i="40"/>
  <c r="H250" i="40" s="1"/>
  <c r="H110" i="40"/>
  <c r="G238" i="40"/>
  <c r="F250" i="41"/>
  <c r="G251" i="41"/>
  <c r="G256" i="41"/>
  <c r="F327" i="39"/>
  <c r="G326" i="39"/>
  <c r="F114" i="39"/>
  <c r="G113" i="39"/>
  <c r="G225" i="38"/>
  <c r="F226" i="38"/>
  <c r="G17" i="35"/>
  <c r="I11" i="33"/>
  <c r="I15" i="33"/>
  <c r="I19" i="33"/>
  <c r="I23" i="33"/>
  <c r="I24" i="33"/>
  <c r="I18" i="33"/>
  <c r="I7" i="33"/>
  <c r="I12" i="33"/>
  <c r="I16" i="33"/>
  <c r="I20" i="33"/>
  <c r="I10" i="33"/>
  <c r="I22" i="33"/>
  <c r="I9" i="33"/>
  <c r="I13" i="33"/>
  <c r="I17" i="33"/>
  <c r="I21" i="33"/>
  <c r="I6" i="33"/>
  <c r="I14" i="33"/>
  <c r="G7" i="35"/>
  <c r="G56" i="35"/>
  <c r="I248" i="37" l="1"/>
  <c r="I250" i="37" s="1"/>
  <c r="L248" i="37"/>
  <c r="L250" i="37" s="1"/>
  <c r="H248" i="37"/>
  <c r="H250" i="37" s="1"/>
  <c r="H251" i="37" s="1"/>
  <c r="G238" i="37"/>
  <c r="G248" i="37" s="1"/>
  <c r="G237" i="40"/>
  <c r="N251" i="37"/>
  <c r="M256" i="37"/>
  <c r="G110" i="37"/>
  <c r="F110" i="37" s="1"/>
  <c r="I251" i="37"/>
  <c r="I256" i="37"/>
  <c r="J251" i="37"/>
  <c r="J256" i="37"/>
  <c r="K251" i="37"/>
  <c r="K256" i="37"/>
  <c r="L256" i="37"/>
  <c r="L251" i="37"/>
  <c r="G110" i="40"/>
  <c r="F110" i="40" s="1"/>
  <c r="I256" i="40"/>
  <c r="I251" i="40"/>
  <c r="G248" i="40"/>
  <c r="H256" i="40"/>
  <c r="H251" i="40"/>
  <c r="E254" i="41"/>
  <c r="F113" i="39"/>
  <c r="G109" i="39"/>
  <c r="F225" i="38"/>
  <c r="G221" i="38"/>
  <c r="F326" i="39"/>
  <c r="G322" i="39"/>
  <c r="M25" i="34"/>
  <c r="I16" i="34"/>
  <c r="C5" i="34"/>
  <c r="M25" i="33"/>
  <c r="H256" i="37" l="1"/>
  <c r="G14" i="40"/>
  <c r="L14" i="37"/>
  <c r="G250" i="37"/>
  <c r="F248" i="37"/>
  <c r="G250" i="40"/>
  <c r="F248" i="40"/>
  <c r="E255" i="41"/>
  <c r="F255" i="41" s="1"/>
  <c r="F221" i="38"/>
  <c r="G229" i="38"/>
  <c r="F229" i="38" s="1"/>
  <c r="F109" i="39"/>
  <c r="G117" i="39"/>
  <c r="F117" i="39" s="1"/>
  <c r="F322" i="39"/>
  <c r="G330" i="39"/>
  <c r="F330" i="39" s="1"/>
  <c r="F14" i="40" l="1"/>
  <c r="G308" i="40"/>
  <c r="F308" i="40" s="1"/>
  <c r="G18" i="40"/>
  <c r="F18" i="40" s="1"/>
  <c r="G27" i="40"/>
  <c r="G17" i="40"/>
  <c r="G62" i="40"/>
  <c r="L43" i="37"/>
  <c r="L350" i="37" s="1"/>
  <c r="L308" i="37"/>
  <c r="L17" i="37"/>
  <c r="F250" i="37"/>
  <c r="G251" i="37"/>
  <c r="G256" i="37"/>
  <c r="G256" i="40"/>
  <c r="G251" i="40"/>
  <c r="E254" i="40" s="1"/>
  <c r="E255" i="40" s="1"/>
  <c r="F255" i="40" s="1"/>
  <c r="F250" i="40"/>
  <c r="E256" i="41"/>
  <c r="L255" i="41" s="1"/>
  <c r="L253" i="41" s="1"/>
  <c r="L254" i="41" s="1"/>
  <c r="T134" i="8"/>
  <c r="T133" i="8"/>
  <c r="T132" i="8"/>
  <c r="T131" i="8"/>
  <c r="T130" i="8"/>
  <c r="T129" i="8"/>
  <c r="T128" i="8"/>
  <c r="T127" i="8"/>
  <c r="T126" i="8"/>
  <c r="T125" i="8"/>
  <c r="T124" i="8"/>
  <c r="T123" i="8"/>
  <c r="T122" i="8"/>
  <c r="T121" i="8"/>
  <c r="T120" i="8"/>
  <c r="T119" i="8"/>
  <c r="T118" i="8"/>
  <c r="T117" i="8"/>
  <c r="T116" i="8"/>
  <c r="T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15" i="8"/>
  <c r="T25" i="32"/>
  <c r="T24" i="32"/>
  <c r="T23" i="32"/>
  <c r="T22" i="32"/>
  <c r="T21" i="32"/>
  <c r="T20" i="32"/>
  <c r="T19" i="32"/>
  <c r="T18" i="32"/>
  <c r="T17" i="32"/>
  <c r="T16" i="32"/>
  <c r="T15" i="32"/>
  <c r="T14" i="32"/>
  <c r="T13" i="32"/>
  <c r="T12" i="32"/>
  <c r="T11" i="32"/>
  <c r="T10" i="32"/>
  <c r="T9" i="32"/>
  <c r="T8" i="32"/>
  <c r="T7" i="32"/>
  <c r="T6" i="32"/>
  <c r="S8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2" i="32"/>
  <c r="S23" i="32"/>
  <c r="S24" i="32"/>
  <c r="S25" i="32"/>
  <c r="S6" i="32"/>
  <c r="L27" i="37" l="1"/>
  <c r="L334" i="37" s="1"/>
  <c r="G334" i="40"/>
  <c r="F27" i="40"/>
  <c r="L18" i="37"/>
  <c r="L311" i="37"/>
  <c r="L410" i="37"/>
  <c r="L371" i="37"/>
  <c r="L389" i="37" s="1"/>
  <c r="E254" i="37"/>
  <c r="E256" i="40"/>
  <c r="N255" i="40" s="1"/>
  <c r="N253" i="40" s="1"/>
  <c r="N254" i="40" s="1"/>
  <c r="J255" i="40"/>
  <c r="J253" i="40" s="1"/>
  <c r="J254" i="40" s="1"/>
  <c r="H255" i="40"/>
  <c r="H253" i="40" s="1"/>
  <c r="H254" i="40" s="1"/>
  <c r="H109" i="40" s="1"/>
  <c r="H108" i="40" s="1"/>
  <c r="H102" i="40" s="1"/>
  <c r="H113" i="40" s="1"/>
  <c r="I255" i="40"/>
  <c r="I253" i="40" s="1"/>
  <c r="I254" i="40" s="1"/>
  <c r="I109" i="40" s="1"/>
  <c r="I108" i="40" s="1"/>
  <c r="I102" i="40" s="1"/>
  <c r="I113" i="40" s="1"/>
  <c r="K255" i="41"/>
  <c r="K253" i="41" s="1"/>
  <c r="K254" i="41" s="1"/>
  <c r="K109" i="41" s="1"/>
  <c r="K108" i="41" s="1"/>
  <c r="K102" i="41" s="1"/>
  <c r="K113" i="41" s="1"/>
  <c r="F256" i="41"/>
  <c r="H255" i="41"/>
  <c r="H253" i="41" s="1"/>
  <c r="H254" i="41" s="1"/>
  <c r="H109" i="41" s="1"/>
  <c r="H108" i="41" s="1"/>
  <c r="H102" i="41" s="1"/>
  <c r="H113" i="41" s="1"/>
  <c r="I255" i="41"/>
  <c r="I253" i="41" s="1"/>
  <c r="I254" i="41" s="1"/>
  <c r="I109" i="41" s="1"/>
  <c r="I108" i="41" s="1"/>
  <c r="I102" i="41" s="1"/>
  <c r="I113" i="41" s="1"/>
  <c r="N255" i="41"/>
  <c r="N253" i="41" s="1"/>
  <c r="N254" i="41" s="1"/>
  <c r="M255" i="41"/>
  <c r="M253" i="41" s="1"/>
  <c r="M254" i="41" s="1"/>
  <c r="J255" i="41"/>
  <c r="J253" i="41" s="1"/>
  <c r="J254" i="41" s="1"/>
  <c r="J109" i="41" s="1"/>
  <c r="J108" i="41" s="1"/>
  <c r="J102" i="41" s="1"/>
  <c r="J113" i="41" s="1"/>
  <c r="V20" i="30"/>
  <c r="U20" i="30"/>
  <c r="V19" i="30"/>
  <c r="U19" i="30"/>
  <c r="W17" i="30"/>
  <c r="T17" i="30"/>
  <c r="S17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H11" i="30"/>
  <c r="H9" i="30" s="1"/>
  <c r="AA9" i="30"/>
  <c r="V5" i="30" s="1"/>
  <c r="Z9" i="30"/>
  <c r="U5" i="30" s="1"/>
  <c r="Y9" i="30"/>
  <c r="T5" i="30" s="1"/>
  <c r="X9" i="30"/>
  <c r="S5" i="30" s="1"/>
  <c r="W9" i="30"/>
  <c r="V4" i="30" s="1"/>
  <c r="V9" i="30"/>
  <c r="U4" i="30" s="1"/>
  <c r="U9" i="30"/>
  <c r="T4" i="30" s="1"/>
  <c r="T9" i="30"/>
  <c r="S9" i="30"/>
  <c r="R9" i="30"/>
  <c r="U3" i="30" s="1"/>
  <c r="Q9" i="30"/>
  <c r="P9" i="30"/>
  <c r="S3" i="30" s="1"/>
  <c r="O9" i="30"/>
  <c r="N9" i="30"/>
  <c r="M9" i="30"/>
  <c r="L9" i="30"/>
  <c r="K4" i="30" s="1"/>
  <c r="K9" i="30"/>
  <c r="N3" i="30" s="1"/>
  <c r="J9" i="30"/>
  <c r="M2" i="30" s="1"/>
  <c r="I9" i="30"/>
  <c r="L2" i="30" s="1"/>
  <c r="S4" i="30"/>
  <c r="N4" i="30"/>
  <c r="M4" i="30"/>
  <c r="L4" i="30"/>
  <c r="V3" i="30"/>
  <c r="T3" i="30"/>
  <c r="L3" i="30" l="1"/>
  <c r="N2" i="30"/>
  <c r="K2" i="30"/>
  <c r="K3" i="30"/>
  <c r="M3" i="30"/>
  <c r="S2" i="30"/>
  <c r="T2" i="30"/>
  <c r="U2" i="30"/>
  <c r="V2" i="30"/>
  <c r="L430" i="37"/>
  <c r="L58" i="37" s="1"/>
  <c r="L309" i="37"/>
  <c r="G357" i="40"/>
  <c r="F357" i="40" s="1"/>
  <c r="F334" i="40"/>
  <c r="G359" i="40"/>
  <c r="G397" i="40"/>
  <c r="L359" i="37"/>
  <c r="L357" i="37"/>
  <c r="L397" i="37"/>
  <c r="E255" i="37"/>
  <c r="F255" i="37" s="1"/>
  <c r="L255" i="40"/>
  <c r="L253" i="40" s="1"/>
  <c r="L254" i="40" s="1"/>
  <c r="K255" i="40"/>
  <c r="K253" i="40" s="1"/>
  <c r="K254" i="40" s="1"/>
  <c r="M255" i="40"/>
  <c r="M253" i="40" s="1"/>
  <c r="M254" i="40" s="1"/>
  <c r="F256" i="40"/>
  <c r="G255" i="40" s="1"/>
  <c r="G253" i="40" s="1"/>
  <c r="G254" i="40" s="1"/>
  <c r="G109" i="40" s="1"/>
  <c r="G255" i="41"/>
  <c r="G253" i="41" s="1"/>
  <c r="U17" i="30"/>
  <c r="V17" i="30"/>
  <c r="F359" i="40" l="1"/>
  <c r="N486" i="40"/>
  <c r="N484" i="40"/>
  <c r="N478" i="40"/>
  <c r="N476" i="40"/>
  <c r="N474" i="40"/>
  <c r="M486" i="40"/>
  <c r="M484" i="40"/>
  <c r="M478" i="40"/>
  <c r="M476" i="40"/>
  <c r="M474" i="40"/>
  <c r="L486" i="40"/>
  <c r="L484" i="40"/>
  <c r="L478" i="40"/>
  <c r="L476" i="40"/>
  <c r="L474" i="40"/>
  <c r="G477" i="40"/>
  <c r="K483" i="40"/>
  <c r="G487" i="40"/>
  <c r="G476" i="40"/>
  <c r="K484" i="40"/>
  <c r="J486" i="40"/>
  <c r="J484" i="40"/>
  <c r="J478" i="40"/>
  <c r="J476" i="40"/>
  <c r="J474" i="40"/>
  <c r="I486" i="40"/>
  <c r="I484" i="40"/>
  <c r="I478" i="40"/>
  <c r="I476" i="40"/>
  <c r="I474" i="40"/>
  <c r="H486" i="40"/>
  <c r="H484" i="40"/>
  <c r="H478" i="40"/>
  <c r="H476" i="40"/>
  <c r="H474" i="40"/>
  <c r="G475" i="40"/>
  <c r="K478" i="40"/>
  <c r="G485" i="40"/>
  <c r="G474" i="40"/>
  <c r="K475" i="40"/>
  <c r="N487" i="40"/>
  <c r="N485" i="40"/>
  <c r="N483" i="40"/>
  <c r="N488" i="40" s="1"/>
  <c r="N489" i="40" s="1"/>
  <c r="N477" i="40"/>
  <c r="N475" i="40"/>
  <c r="M487" i="40"/>
  <c r="M488" i="40" s="1"/>
  <c r="M489" i="40" s="1"/>
  <c r="M485" i="40"/>
  <c r="M483" i="40"/>
  <c r="M477" i="40"/>
  <c r="M475" i="40"/>
  <c r="L487" i="40"/>
  <c r="L485" i="40"/>
  <c r="L483" i="40"/>
  <c r="L477" i="40"/>
  <c r="L475" i="40"/>
  <c r="G486" i="40"/>
  <c r="K487" i="40"/>
  <c r="K476" i="40"/>
  <c r="G483" i="40"/>
  <c r="G488" i="40" s="1"/>
  <c r="G489" i="40" s="1"/>
  <c r="G376" i="40" s="1"/>
  <c r="G379" i="40" s="1"/>
  <c r="K486" i="40"/>
  <c r="J487" i="40"/>
  <c r="J485" i="40"/>
  <c r="J483" i="40"/>
  <c r="J477" i="40"/>
  <c r="J475" i="40"/>
  <c r="I487" i="40"/>
  <c r="I485" i="40"/>
  <c r="I483" i="40"/>
  <c r="I488" i="40" s="1"/>
  <c r="I489" i="40" s="1"/>
  <c r="I376" i="40" s="1"/>
  <c r="I477" i="40"/>
  <c r="I475" i="40"/>
  <c r="H487" i="40"/>
  <c r="H485" i="40"/>
  <c r="H483" i="40"/>
  <c r="H477" i="40"/>
  <c r="H479" i="40" s="1"/>
  <c r="H480" i="40" s="1"/>
  <c r="H475" i="40"/>
  <c r="G484" i="40"/>
  <c r="K485" i="40"/>
  <c r="K474" i="40"/>
  <c r="G478" i="40"/>
  <c r="G479" i="40" s="1"/>
  <c r="G480" i="40" s="1"/>
  <c r="K477" i="40"/>
  <c r="G413" i="40"/>
  <c r="G417" i="40" s="1"/>
  <c r="F397" i="40"/>
  <c r="E256" i="37"/>
  <c r="F253" i="40"/>
  <c r="G108" i="40"/>
  <c r="F109" i="40"/>
  <c r="G254" i="41"/>
  <c r="G109" i="41" s="1"/>
  <c r="F253" i="41"/>
  <c r="O136" i="8"/>
  <c r="K488" i="40" l="1"/>
  <c r="K489" i="40" s="1"/>
  <c r="I479" i="40"/>
  <c r="I480" i="40" s="1"/>
  <c r="M479" i="40"/>
  <c r="M480" i="40" s="1"/>
  <c r="J479" i="40"/>
  <c r="J480" i="40" s="1"/>
  <c r="L479" i="40"/>
  <c r="L480" i="40" s="1"/>
  <c r="N479" i="40"/>
  <c r="N480" i="40" s="1"/>
  <c r="L488" i="40"/>
  <c r="L489" i="40" s="1"/>
  <c r="H488" i="40"/>
  <c r="H489" i="40" s="1"/>
  <c r="H376" i="40" s="1"/>
  <c r="H377" i="40" s="1"/>
  <c r="J488" i="40"/>
  <c r="J489" i="40" s="1"/>
  <c r="K479" i="40"/>
  <c r="K480" i="40" s="1"/>
  <c r="G414" i="40"/>
  <c r="I379" i="40"/>
  <c r="I400" i="40" s="1"/>
  <c r="I377" i="40"/>
  <c r="G400" i="40"/>
  <c r="G377" i="40"/>
  <c r="G49" i="40"/>
  <c r="F417" i="40"/>
  <c r="F49" i="40" s="1"/>
  <c r="P255" i="37"/>
  <c r="P253" i="37" s="1"/>
  <c r="P254" i="37" s="1"/>
  <c r="P109" i="37" s="1"/>
  <c r="P108" i="37" s="1"/>
  <c r="P102" i="37" s="1"/>
  <c r="P113" i="37" s="1"/>
  <c r="Q255" i="37"/>
  <c r="Q253" i="37" s="1"/>
  <c r="Q254" i="37" s="1"/>
  <c r="Q109" i="37" s="1"/>
  <c r="Q108" i="37" s="1"/>
  <c r="Q102" i="37" s="1"/>
  <c r="Q113" i="37" s="1"/>
  <c r="O255" i="37"/>
  <c r="O253" i="37" s="1"/>
  <c r="O254" i="37" s="1"/>
  <c r="O109" i="37" s="1"/>
  <c r="O108" i="37" s="1"/>
  <c r="O102" i="37" s="1"/>
  <c r="O113" i="37" s="1"/>
  <c r="N255" i="37"/>
  <c r="N253" i="37" s="1"/>
  <c r="N254" i="37" s="1"/>
  <c r="N109" i="37" s="1"/>
  <c r="N108" i="37" s="1"/>
  <c r="N102" i="37" s="1"/>
  <c r="N113" i="37" s="1"/>
  <c r="M255" i="37"/>
  <c r="M253" i="37" s="1"/>
  <c r="M254" i="37" s="1"/>
  <c r="M109" i="37" s="1"/>
  <c r="M108" i="37" s="1"/>
  <c r="M102" i="37" s="1"/>
  <c r="M113" i="37" s="1"/>
  <c r="L255" i="37"/>
  <c r="L253" i="37" s="1"/>
  <c r="L254" i="37" s="1"/>
  <c r="L109" i="37" s="1"/>
  <c r="L108" i="37" s="1"/>
  <c r="L102" i="37" s="1"/>
  <c r="L113" i="37" s="1"/>
  <c r="K255" i="37"/>
  <c r="K253" i="37" s="1"/>
  <c r="K254" i="37" s="1"/>
  <c r="K109" i="37" s="1"/>
  <c r="K108" i="37" s="1"/>
  <c r="K102" i="37" s="1"/>
  <c r="K113" i="37" s="1"/>
  <c r="I255" i="37"/>
  <c r="I253" i="37" s="1"/>
  <c r="I254" i="37" s="1"/>
  <c r="I109" i="37" s="1"/>
  <c r="I108" i="37" s="1"/>
  <c r="I102" i="37" s="1"/>
  <c r="I113" i="37" s="1"/>
  <c r="J255" i="37"/>
  <c r="J253" i="37" s="1"/>
  <c r="J254" i="37" s="1"/>
  <c r="J109" i="37" s="1"/>
  <c r="J108" i="37" s="1"/>
  <c r="J102" i="37" s="1"/>
  <c r="J113" i="37" s="1"/>
  <c r="H255" i="37"/>
  <c r="H253" i="37" s="1"/>
  <c r="H254" i="37" s="1"/>
  <c r="H109" i="37" s="1"/>
  <c r="H108" i="37" s="1"/>
  <c r="H102" i="37" s="1"/>
  <c r="H113" i="37" s="1"/>
  <c r="F256" i="37"/>
  <c r="G102" i="40"/>
  <c r="F108" i="40"/>
  <c r="F109" i="41"/>
  <c r="G108" i="41"/>
  <c r="N27" i="3"/>
  <c r="H379" i="40" l="1"/>
  <c r="H400" i="40" s="1"/>
  <c r="F400" i="40" s="1"/>
  <c r="G390" i="40"/>
  <c r="F377" i="40"/>
  <c r="G398" i="40"/>
  <c r="G47" i="40"/>
  <c r="F414" i="40"/>
  <c r="F47" i="40" s="1"/>
  <c r="I398" i="40"/>
  <c r="I390" i="40"/>
  <c r="H398" i="40"/>
  <c r="G255" i="37"/>
  <c r="G253" i="37" s="1"/>
  <c r="F253" i="37" s="1"/>
  <c r="F102" i="40"/>
  <c r="G113" i="40"/>
  <c r="F113" i="40" s="1"/>
  <c r="F108" i="41"/>
  <c r="G102" i="41"/>
  <c r="G18" i="35"/>
  <c r="R134" i="8"/>
  <c r="Q134" i="8" s="1"/>
  <c r="R133" i="8"/>
  <c r="Q133" i="8" s="1"/>
  <c r="R132" i="8"/>
  <c r="Q132" i="8" s="1"/>
  <c r="R131" i="8"/>
  <c r="Q131" i="8" s="1"/>
  <c r="R130" i="8"/>
  <c r="Q130" i="8" s="1"/>
  <c r="R129" i="8"/>
  <c r="Q129" i="8" s="1"/>
  <c r="R128" i="8"/>
  <c r="Q128" i="8" s="1"/>
  <c r="R127" i="8"/>
  <c r="Q127" i="8" s="1"/>
  <c r="R126" i="8"/>
  <c r="Q126" i="8" s="1"/>
  <c r="R125" i="8"/>
  <c r="Q125" i="8" s="1"/>
  <c r="R124" i="8"/>
  <c r="Q124" i="8" s="1"/>
  <c r="R123" i="8"/>
  <c r="Q123" i="8" s="1"/>
  <c r="R122" i="8"/>
  <c r="Q122" i="8" s="1"/>
  <c r="R121" i="8"/>
  <c r="Q121" i="8" s="1"/>
  <c r="R120" i="8"/>
  <c r="Q120" i="8" s="1"/>
  <c r="R119" i="8"/>
  <c r="Q119" i="8" s="1"/>
  <c r="R118" i="8"/>
  <c r="Q118" i="8" s="1"/>
  <c r="R117" i="8"/>
  <c r="Q117" i="8" s="1"/>
  <c r="R116" i="8"/>
  <c r="Q116" i="8" s="1"/>
  <c r="R115" i="8"/>
  <c r="Q115" i="8" s="1"/>
  <c r="H390" i="40" l="1"/>
  <c r="F390" i="40" s="1"/>
  <c r="F379" i="40"/>
  <c r="G313" i="40"/>
  <c r="G16" i="40"/>
  <c r="I313" i="40"/>
  <c r="I312" i="40" s="1"/>
  <c r="I307" i="40" s="1"/>
  <c r="I396" i="40" s="1"/>
  <c r="I16" i="40"/>
  <c r="I17" i="40" s="1"/>
  <c r="F398" i="40"/>
  <c r="G254" i="37"/>
  <c r="G109" i="37" s="1"/>
  <c r="F109" i="37" s="1"/>
  <c r="F102" i="41"/>
  <c r="G113" i="41"/>
  <c r="F113" i="41" s="1"/>
  <c r="S135" i="8"/>
  <c r="S136" i="8" s="1"/>
  <c r="T135" i="8"/>
  <c r="T136" i="8" s="1"/>
  <c r="V1" i="32"/>
  <c r="H313" i="40" l="1"/>
  <c r="H312" i="40" s="1"/>
  <c r="H307" i="40" s="1"/>
  <c r="H396" i="40" s="1"/>
  <c r="H16" i="40"/>
  <c r="H17" i="40" s="1"/>
  <c r="F17" i="40" s="1"/>
  <c r="G312" i="40"/>
  <c r="G108" i="37"/>
  <c r="G102" i="37"/>
  <c r="F108" i="37"/>
  <c r="R25" i="32"/>
  <c r="Q25" i="32" s="1"/>
  <c r="R24" i="32"/>
  <c r="Q24" i="32" s="1"/>
  <c r="R23" i="32"/>
  <c r="Q23" i="32" s="1"/>
  <c r="R22" i="32"/>
  <c r="Q22" i="32" s="1"/>
  <c r="R21" i="32"/>
  <c r="Q21" i="32" s="1"/>
  <c r="R20" i="32"/>
  <c r="Q20" i="32" s="1"/>
  <c r="R19" i="32"/>
  <c r="Q19" i="32" s="1"/>
  <c r="R18" i="32"/>
  <c r="Q18" i="32" s="1"/>
  <c r="R17" i="32"/>
  <c r="Q17" i="32" s="1"/>
  <c r="R16" i="32"/>
  <c r="Q16" i="32" s="1"/>
  <c r="R15" i="32"/>
  <c r="Q15" i="32" s="1"/>
  <c r="R14" i="32"/>
  <c r="Q14" i="32" s="1"/>
  <c r="R13" i="32"/>
  <c r="Q13" i="32" s="1"/>
  <c r="R12" i="32"/>
  <c r="Q12" i="32" s="1"/>
  <c r="R11" i="32"/>
  <c r="Q11" i="32" s="1"/>
  <c r="R10" i="32"/>
  <c r="Q10" i="32" s="1"/>
  <c r="R9" i="32"/>
  <c r="S9" i="32" s="1"/>
  <c r="R8" i="32"/>
  <c r="Q8" i="32" s="1"/>
  <c r="R6" i="32"/>
  <c r="Q6" i="32" s="1"/>
  <c r="F16" i="40" l="1"/>
  <c r="F313" i="40"/>
  <c r="G19" i="40"/>
  <c r="I19" i="40"/>
  <c r="K19" i="40"/>
  <c r="J19" i="40"/>
  <c r="L19" i="40"/>
  <c r="N19" i="40"/>
  <c r="M19" i="40"/>
  <c r="H19" i="40"/>
  <c r="G307" i="40"/>
  <c r="F312" i="40"/>
  <c r="G113" i="37"/>
  <c r="F113" i="37" s="1"/>
  <c r="F102" i="37"/>
  <c r="S26" i="32"/>
  <c r="T26" i="32"/>
  <c r="S27" i="32"/>
  <c r="T27" i="32"/>
  <c r="G396" i="40" l="1"/>
  <c r="F396" i="40" s="1"/>
  <c r="F307" i="40"/>
  <c r="F19" i="40"/>
  <c r="F20" i="40" s="1"/>
  <c r="Q9" i="32"/>
  <c r="I21" i="31"/>
  <c r="G55" i="6"/>
  <c r="G56" i="6"/>
  <c r="G57" i="6"/>
  <c r="G61" i="6"/>
  <c r="G62" i="6"/>
  <c r="G64" i="6"/>
  <c r="G65" i="6"/>
  <c r="H55" i="6"/>
  <c r="H56" i="6"/>
  <c r="H57" i="6"/>
  <c r="H61" i="6"/>
  <c r="H62" i="6"/>
  <c r="H64" i="6"/>
  <c r="H65" i="6"/>
  <c r="F55" i="6"/>
  <c r="F56" i="6"/>
  <c r="F57" i="6"/>
  <c r="F61" i="6"/>
  <c r="F62" i="6"/>
  <c r="F64" i="6"/>
  <c r="F65" i="6"/>
  <c r="N4" i="3"/>
  <c r="O4" i="3" s="1"/>
  <c r="N105" i="8"/>
  <c r="O105" i="8" s="1"/>
  <c r="N104" i="8"/>
  <c r="O104" i="8" s="1"/>
  <c r="N103" i="8"/>
  <c r="O103" i="8" s="1"/>
  <c r="N102" i="8"/>
  <c r="O102" i="8" s="1"/>
  <c r="N101" i="8"/>
  <c r="O101" i="8" s="1"/>
  <c r="N100" i="8"/>
  <c r="O100" i="8" s="1"/>
  <c r="N99" i="8"/>
  <c r="O99" i="8" s="1"/>
  <c r="N98" i="8"/>
  <c r="O98" i="8" s="1"/>
  <c r="N97" i="8"/>
  <c r="O97" i="8" s="1"/>
  <c r="N96" i="8"/>
  <c r="O96" i="8" s="1"/>
  <c r="N95" i="8"/>
  <c r="O95" i="8" s="1"/>
  <c r="N94" i="8"/>
  <c r="O94" i="8" s="1"/>
  <c r="N93" i="8"/>
  <c r="O93" i="8" s="1"/>
  <c r="N92" i="8"/>
  <c r="O92" i="8" s="1"/>
  <c r="N91" i="8"/>
  <c r="O91" i="8" s="1"/>
  <c r="N90" i="8"/>
  <c r="O90" i="8" s="1"/>
  <c r="N89" i="8"/>
  <c r="O89" i="8" s="1"/>
  <c r="N88" i="8"/>
  <c r="O88" i="8" s="1"/>
  <c r="N87" i="8"/>
  <c r="O87" i="8" s="1"/>
  <c r="N86" i="8"/>
  <c r="O86" i="8" s="1"/>
  <c r="N85" i="8"/>
  <c r="O85" i="8" s="1"/>
  <c r="N84" i="8"/>
  <c r="O84" i="8" s="1"/>
  <c r="N25" i="3"/>
  <c r="O25" i="3" s="1"/>
  <c r="N24" i="3"/>
  <c r="O24" i="3" s="1"/>
  <c r="N23" i="3"/>
  <c r="O23" i="3" s="1"/>
  <c r="N22" i="3"/>
  <c r="O22" i="3" s="1"/>
  <c r="N21" i="3"/>
  <c r="O21" i="3" s="1"/>
  <c r="N20" i="3"/>
  <c r="O20" i="3" s="1"/>
  <c r="N19" i="3"/>
  <c r="O19" i="3" s="1"/>
  <c r="N18" i="3"/>
  <c r="O18" i="3" s="1"/>
  <c r="N17" i="3"/>
  <c r="O17" i="3" s="1"/>
  <c r="N16" i="3"/>
  <c r="O16" i="3" s="1"/>
  <c r="N15" i="3"/>
  <c r="O15" i="3" s="1"/>
  <c r="N14" i="3"/>
  <c r="O14" i="3" s="1"/>
  <c r="N13" i="3"/>
  <c r="O13" i="3" s="1"/>
  <c r="N12" i="3"/>
  <c r="O12" i="3" s="1"/>
  <c r="N11" i="3"/>
  <c r="O11" i="3" s="1"/>
  <c r="N10" i="3"/>
  <c r="O10" i="3" s="1"/>
  <c r="N9" i="3"/>
  <c r="O9" i="3" s="1"/>
  <c r="N8" i="3"/>
  <c r="O8" i="3" s="1"/>
  <c r="N7" i="3"/>
  <c r="O7" i="3" s="1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N136" i="8"/>
  <c r="H2" i="8"/>
  <c r="H14" i="8"/>
  <c r="P71" i="6"/>
  <c r="M71" i="6" s="1"/>
  <c r="Q71" i="6"/>
  <c r="N71" i="6" s="1"/>
  <c r="C12" i="7"/>
  <c r="C13" i="7"/>
  <c r="H21" i="8"/>
  <c r="H2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F72" i="8"/>
  <c r="N72" i="8" s="1"/>
  <c r="H72" i="8"/>
  <c r="M72" i="8"/>
  <c r="I76" i="8"/>
  <c r="O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D106" i="8"/>
  <c r="N107" i="8"/>
  <c r="O107" i="8"/>
  <c r="D26" i="3"/>
  <c r="M48" i="9"/>
  <c r="I16" i="9"/>
  <c r="I22" i="9" s="1"/>
  <c r="C5" i="9"/>
  <c r="F25" i="9"/>
  <c r="N25" i="9" s="1"/>
  <c r="M25" i="9"/>
  <c r="F25" i="31"/>
  <c r="F48" i="31" s="1"/>
  <c r="N48" i="31" s="1"/>
  <c r="M48" i="31"/>
  <c r="M25" i="31"/>
  <c r="BA29" i="31"/>
  <c r="BA30" i="31"/>
  <c r="BA31" i="31"/>
  <c r="BA32" i="31"/>
  <c r="BA33" i="31"/>
  <c r="BA34" i="31"/>
  <c r="BA35" i="31"/>
  <c r="BA36" i="31"/>
  <c r="BA37" i="31"/>
  <c r="BA38" i="31"/>
  <c r="BA39" i="31"/>
  <c r="BA40" i="31"/>
  <c r="BA41" i="31"/>
  <c r="BA42" i="31"/>
  <c r="BA43" i="31"/>
  <c r="BA44" i="31"/>
  <c r="BA45" i="31"/>
  <c r="BA46" i="31"/>
  <c r="AZ29" i="31"/>
  <c r="AZ30" i="31"/>
  <c r="AZ31" i="31"/>
  <c r="AZ32" i="31"/>
  <c r="AZ33" i="31"/>
  <c r="AZ34" i="31"/>
  <c r="AZ35" i="31"/>
  <c r="AZ36" i="31"/>
  <c r="AZ37" i="31"/>
  <c r="AZ38" i="31"/>
  <c r="AZ39" i="31"/>
  <c r="AZ40" i="31"/>
  <c r="AZ41" i="31"/>
  <c r="AZ42" i="31"/>
  <c r="AZ43" i="31"/>
  <c r="AZ44" i="31"/>
  <c r="AZ45" i="31"/>
  <c r="AZ46" i="31"/>
  <c r="AY29" i="31"/>
  <c r="AY30" i="31"/>
  <c r="AY31" i="31"/>
  <c r="AY32" i="31"/>
  <c r="AY33" i="31"/>
  <c r="AY34" i="31"/>
  <c r="AY35" i="31"/>
  <c r="AY36" i="31"/>
  <c r="AY37" i="31"/>
  <c r="AY38" i="31"/>
  <c r="AY39" i="31"/>
  <c r="AY40" i="31"/>
  <c r="AY41" i="31"/>
  <c r="AY42" i="31"/>
  <c r="AY43" i="31"/>
  <c r="AY44" i="31"/>
  <c r="AY45" i="31"/>
  <c r="AY46" i="31"/>
  <c r="AX29" i="31"/>
  <c r="AX30" i="31"/>
  <c r="AX31" i="31"/>
  <c r="AX32" i="31"/>
  <c r="AX33" i="31"/>
  <c r="AX34" i="31"/>
  <c r="AX35" i="31"/>
  <c r="AX36" i="31"/>
  <c r="AX37" i="31"/>
  <c r="AX38" i="31"/>
  <c r="AX39" i="31"/>
  <c r="AX40" i="31"/>
  <c r="AX41" i="31"/>
  <c r="AX42" i="31"/>
  <c r="AX43" i="31"/>
  <c r="AX44" i="31"/>
  <c r="AX45" i="31"/>
  <c r="AX46" i="31"/>
  <c r="AW29" i="31"/>
  <c r="AW30" i="31"/>
  <c r="AW31" i="31"/>
  <c r="AW32" i="31"/>
  <c r="AW33" i="31"/>
  <c r="AW34" i="31"/>
  <c r="AW35" i="31"/>
  <c r="AW36" i="31"/>
  <c r="AW37" i="31"/>
  <c r="AW38" i="31"/>
  <c r="AW39" i="31"/>
  <c r="AW40" i="31"/>
  <c r="AW41" i="31"/>
  <c r="AW42" i="31"/>
  <c r="AW43" i="31"/>
  <c r="AW44" i="31"/>
  <c r="AW45" i="31"/>
  <c r="AW46" i="31"/>
  <c r="AV29" i="31"/>
  <c r="AV30" i="31"/>
  <c r="AV31" i="31"/>
  <c r="AV32" i="31"/>
  <c r="AV33" i="31"/>
  <c r="AV34" i="31"/>
  <c r="AV35" i="31"/>
  <c r="AV36" i="31"/>
  <c r="AV37" i="31"/>
  <c r="AV38" i="31"/>
  <c r="AV39" i="31"/>
  <c r="AV40" i="31"/>
  <c r="AV41" i="31"/>
  <c r="AV42" i="31"/>
  <c r="AV43" i="31"/>
  <c r="AV44" i="31"/>
  <c r="AV45" i="31"/>
  <c r="AV46" i="31"/>
  <c r="AU29" i="31"/>
  <c r="AU30" i="31"/>
  <c r="AU31" i="31"/>
  <c r="AU32" i="31"/>
  <c r="AU33" i="31"/>
  <c r="AU34" i="31"/>
  <c r="AU35" i="31"/>
  <c r="AU36" i="31"/>
  <c r="AU37" i="31"/>
  <c r="AU38" i="31"/>
  <c r="AU39" i="31"/>
  <c r="AU40" i="31"/>
  <c r="AU41" i="31"/>
  <c r="AU42" i="31"/>
  <c r="AU43" i="31"/>
  <c r="AU44" i="31"/>
  <c r="AU45" i="31"/>
  <c r="AU46" i="31"/>
  <c r="AT29" i="31"/>
  <c r="AT30" i="31"/>
  <c r="AT31" i="31"/>
  <c r="AT32" i="31"/>
  <c r="AT33" i="31"/>
  <c r="AT34" i="31"/>
  <c r="AT35" i="31"/>
  <c r="AT36" i="31"/>
  <c r="AT37" i="31"/>
  <c r="AT38" i="31"/>
  <c r="AT39" i="31"/>
  <c r="AT40" i="31"/>
  <c r="AT41" i="31"/>
  <c r="AT42" i="31"/>
  <c r="AT43" i="31"/>
  <c r="AT44" i="31"/>
  <c r="AT45" i="31"/>
  <c r="AT46" i="31"/>
  <c r="AS29" i="31"/>
  <c r="AS30" i="31"/>
  <c r="AS31" i="31"/>
  <c r="AS32" i="31"/>
  <c r="AS33" i="31"/>
  <c r="AS34" i="31"/>
  <c r="AS35" i="31"/>
  <c r="AS36" i="31"/>
  <c r="AS37" i="31"/>
  <c r="AS38" i="31"/>
  <c r="AS39" i="31"/>
  <c r="AS40" i="31"/>
  <c r="AS41" i="31"/>
  <c r="AS42" i="31"/>
  <c r="AS43" i="31"/>
  <c r="AS44" i="31"/>
  <c r="AS45" i="31"/>
  <c r="AS46" i="31"/>
  <c r="AR29" i="31"/>
  <c r="AR30" i="31"/>
  <c r="AR31" i="31"/>
  <c r="AR32" i="31"/>
  <c r="AR33" i="31"/>
  <c r="AR34" i="31"/>
  <c r="AR35" i="31"/>
  <c r="AR36" i="31"/>
  <c r="AR37" i="31"/>
  <c r="AR38" i="31"/>
  <c r="AR39" i="31"/>
  <c r="AR40" i="31"/>
  <c r="AR41" i="31"/>
  <c r="AR42" i="31"/>
  <c r="AR43" i="31"/>
  <c r="AR44" i="31"/>
  <c r="AR45" i="31"/>
  <c r="AR46" i="31"/>
  <c r="AQ29" i="31"/>
  <c r="AQ30" i="31"/>
  <c r="AQ31" i="31"/>
  <c r="AQ32" i="31"/>
  <c r="AQ33" i="31"/>
  <c r="AQ34" i="31"/>
  <c r="AQ35" i="31"/>
  <c r="AQ36" i="31"/>
  <c r="AQ37" i="31"/>
  <c r="AQ38" i="31"/>
  <c r="AQ39" i="31"/>
  <c r="AQ40" i="31"/>
  <c r="AQ41" i="31"/>
  <c r="AQ42" i="31"/>
  <c r="AQ43" i="31"/>
  <c r="AQ44" i="31"/>
  <c r="AQ45" i="31"/>
  <c r="AQ46" i="31"/>
  <c r="AP29" i="31"/>
  <c r="AP30" i="31"/>
  <c r="AP31" i="31"/>
  <c r="AP32" i="31"/>
  <c r="AP33" i="31"/>
  <c r="AP34" i="31"/>
  <c r="AP35" i="31"/>
  <c r="AP36" i="31"/>
  <c r="AP37" i="31"/>
  <c r="AP38" i="31"/>
  <c r="AP39" i="31"/>
  <c r="AP40" i="31"/>
  <c r="AP41" i="31"/>
  <c r="AP42" i="31"/>
  <c r="AP43" i="31"/>
  <c r="AP44" i="31"/>
  <c r="AP45" i="31"/>
  <c r="AP46" i="31"/>
  <c r="AO29" i="31"/>
  <c r="AO30" i="31"/>
  <c r="AO31" i="31"/>
  <c r="AO32" i="31"/>
  <c r="AO33" i="31"/>
  <c r="AO34" i="31"/>
  <c r="AO35" i="31"/>
  <c r="AO36" i="31"/>
  <c r="AO37" i="31"/>
  <c r="AO38" i="31"/>
  <c r="AO39" i="31"/>
  <c r="AO40" i="31"/>
  <c r="AO41" i="31"/>
  <c r="AO42" i="31"/>
  <c r="AO43" i="31"/>
  <c r="AO44" i="31"/>
  <c r="AO45" i="31"/>
  <c r="AO46" i="31"/>
  <c r="AN29" i="31"/>
  <c r="AN30" i="31"/>
  <c r="AN31" i="31"/>
  <c r="AN32" i="31"/>
  <c r="AN33" i="31"/>
  <c r="AN34" i="31"/>
  <c r="AN35" i="31"/>
  <c r="AN36" i="31"/>
  <c r="AN37" i="31"/>
  <c r="AN38" i="31"/>
  <c r="AN39" i="31"/>
  <c r="AN40" i="31"/>
  <c r="AN41" i="31"/>
  <c r="AN42" i="31"/>
  <c r="AN43" i="31"/>
  <c r="AN44" i="31"/>
  <c r="AN45" i="31"/>
  <c r="AN46" i="31"/>
  <c r="AM29" i="31"/>
  <c r="AM30" i="31"/>
  <c r="AM31" i="31"/>
  <c r="AM32" i="31"/>
  <c r="AM33" i="31"/>
  <c r="AM34" i="31"/>
  <c r="AM35" i="31"/>
  <c r="AM36" i="31"/>
  <c r="AM37" i="31"/>
  <c r="AM38" i="31"/>
  <c r="AM39" i="31"/>
  <c r="AM40" i="31"/>
  <c r="AM41" i="31"/>
  <c r="AM42" i="31"/>
  <c r="AM43" i="31"/>
  <c r="AM44" i="31"/>
  <c r="AM45" i="31"/>
  <c r="AM46" i="31"/>
  <c r="AL29" i="31"/>
  <c r="AL30" i="31"/>
  <c r="AL31" i="31"/>
  <c r="AL32" i="31"/>
  <c r="AL33" i="31"/>
  <c r="AL34" i="31"/>
  <c r="AL35" i="31"/>
  <c r="AL36" i="31"/>
  <c r="AL37" i="31"/>
  <c r="AL38" i="31"/>
  <c r="AL39" i="31"/>
  <c r="AL40" i="31"/>
  <c r="AL41" i="31"/>
  <c r="AL42" i="31"/>
  <c r="AL43" i="31"/>
  <c r="AL44" i="31"/>
  <c r="AL45" i="31"/>
  <c r="AL46" i="31"/>
  <c r="AK29" i="31"/>
  <c r="AK30" i="31"/>
  <c r="AK31" i="31"/>
  <c r="AK32" i="31"/>
  <c r="AK33" i="31"/>
  <c r="AK34" i="31"/>
  <c r="AK35" i="31"/>
  <c r="AK36" i="31"/>
  <c r="AK37" i="31"/>
  <c r="AK38" i="31"/>
  <c r="AK39" i="31"/>
  <c r="AK40" i="31"/>
  <c r="AK41" i="31"/>
  <c r="AK42" i="31"/>
  <c r="AK43" i="31"/>
  <c r="AK44" i="31"/>
  <c r="AK45" i="31"/>
  <c r="AK46" i="31"/>
  <c r="AJ29" i="31"/>
  <c r="AJ30" i="31"/>
  <c r="AJ31" i="31"/>
  <c r="AJ32" i="31"/>
  <c r="AJ33" i="31"/>
  <c r="AJ34" i="31"/>
  <c r="AJ35" i="31"/>
  <c r="AJ36" i="31"/>
  <c r="AJ37" i="31"/>
  <c r="AJ38" i="31"/>
  <c r="AJ39" i="31"/>
  <c r="AJ40" i="31"/>
  <c r="AJ41" i="31"/>
  <c r="AJ42" i="31"/>
  <c r="AJ43" i="31"/>
  <c r="AJ44" i="31"/>
  <c r="AJ45" i="31"/>
  <c r="AJ46" i="31"/>
  <c r="AI29" i="31"/>
  <c r="AI30" i="31"/>
  <c r="AI31" i="31"/>
  <c r="AI32" i="31"/>
  <c r="AI33" i="31"/>
  <c r="AI34" i="31"/>
  <c r="AI35" i="31"/>
  <c r="AI36" i="31"/>
  <c r="AI37" i="31"/>
  <c r="AI38" i="31"/>
  <c r="AI39" i="31"/>
  <c r="AI40" i="31"/>
  <c r="AI41" i="31"/>
  <c r="AI42" i="31"/>
  <c r="AI43" i="31"/>
  <c r="AI44" i="31"/>
  <c r="AI45" i="31"/>
  <c r="AI46" i="31"/>
  <c r="AZ6" i="31"/>
  <c r="AZ7" i="31"/>
  <c r="AZ8" i="31"/>
  <c r="AZ9" i="31"/>
  <c r="AZ10" i="31"/>
  <c r="AZ11" i="31"/>
  <c r="AZ12" i="31"/>
  <c r="AZ13" i="31"/>
  <c r="AZ14" i="31"/>
  <c r="AZ15" i="31"/>
  <c r="AZ16" i="31"/>
  <c r="AZ17" i="31"/>
  <c r="AZ18" i="31"/>
  <c r="AZ19" i="31"/>
  <c r="AZ20" i="31"/>
  <c r="AZ21" i="31"/>
  <c r="AZ22" i="31"/>
  <c r="AZ23" i="31"/>
  <c r="BA6" i="31"/>
  <c r="BA7" i="31"/>
  <c r="BA8" i="31"/>
  <c r="BA9" i="31"/>
  <c r="BA10" i="31"/>
  <c r="BA11" i="31"/>
  <c r="BA12" i="31"/>
  <c r="BA13" i="31"/>
  <c r="BA14" i="31"/>
  <c r="BA15" i="31"/>
  <c r="BA16" i="31"/>
  <c r="BA17" i="31"/>
  <c r="BA18" i="31"/>
  <c r="BA19" i="31"/>
  <c r="BA20" i="31"/>
  <c r="BA21" i="31"/>
  <c r="BA22" i="31"/>
  <c r="BA23" i="31"/>
  <c r="AY6" i="31"/>
  <c r="AY7" i="31"/>
  <c r="AY8" i="31"/>
  <c r="AY9" i="31"/>
  <c r="AY10" i="31"/>
  <c r="AY11" i="31"/>
  <c r="AY12" i="31"/>
  <c r="AY13" i="31"/>
  <c r="AY14" i="31"/>
  <c r="AY15" i="31"/>
  <c r="AY16" i="31"/>
  <c r="AY17" i="31"/>
  <c r="AY18" i="31"/>
  <c r="AY19" i="31"/>
  <c r="AY20" i="31"/>
  <c r="AY21" i="31"/>
  <c r="AY22" i="31"/>
  <c r="AY23" i="31"/>
  <c r="AX6" i="31"/>
  <c r="AX7" i="31"/>
  <c r="AX8" i="31"/>
  <c r="AX9" i="31"/>
  <c r="AX10" i="31"/>
  <c r="AX11" i="31"/>
  <c r="AX12" i="31"/>
  <c r="AX13" i="31"/>
  <c r="AX14" i="31"/>
  <c r="AX15" i="31"/>
  <c r="AX16" i="31"/>
  <c r="AX17" i="31"/>
  <c r="AX18" i="31"/>
  <c r="AX19" i="31"/>
  <c r="AX20" i="31"/>
  <c r="AX21" i="31"/>
  <c r="AX22" i="31"/>
  <c r="AX23" i="31"/>
  <c r="AW6" i="31"/>
  <c r="AW7" i="31"/>
  <c r="AW8" i="31"/>
  <c r="AW9" i="31"/>
  <c r="AW10" i="31"/>
  <c r="AW11" i="31"/>
  <c r="AW12" i="31"/>
  <c r="AW13" i="31"/>
  <c r="AW14" i="31"/>
  <c r="AW15" i="31"/>
  <c r="AW16" i="31"/>
  <c r="AW17" i="31"/>
  <c r="AW18" i="31"/>
  <c r="AW19" i="31"/>
  <c r="AW20" i="31"/>
  <c r="AW21" i="31"/>
  <c r="AW22" i="31"/>
  <c r="AW23" i="31"/>
  <c r="AV6" i="31"/>
  <c r="AV7" i="31"/>
  <c r="AV8" i="31"/>
  <c r="AV9" i="31"/>
  <c r="AV10" i="31"/>
  <c r="AV11" i="31"/>
  <c r="AV12" i="31"/>
  <c r="AV13" i="31"/>
  <c r="AV14" i="31"/>
  <c r="AV15" i="31"/>
  <c r="AV16" i="31"/>
  <c r="AV17" i="31"/>
  <c r="AV18" i="31"/>
  <c r="AV19" i="31"/>
  <c r="AV20" i="31"/>
  <c r="AV21" i="31"/>
  <c r="AV22" i="31"/>
  <c r="AV23" i="31"/>
  <c r="AU6" i="31"/>
  <c r="AU7" i="31"/>
  <c r="AU8" i="31"/>
  <c r="AU9" i="31"/>
  <c r="AU10" i="31"/>
  <c r="AU11" i="31"/>
  <c r="AU12" i="31"/>
  <c r="AU13" i="31"/>
  <c r="AU14" i="31"/>
  <c r="AU15" i="31"/>
  <c r="AU16" i="31"/>
  <c r="AU17" i="31"/>
  <c r="AU18" i="31"/>
  <c r="AU19" i="31"/>
  <c r="AU20" i="31"/>
  <c r="AU21" i="31"/>
  <c r="AU22" i="31"/>
  <c r="AU23" i="31"/>
  <c r="AT6" i="31"/>
  <c r="AT7" i="31"/>
  <c r="AT8" i="31"/>
  <c r="AT9" i="31"/>
  <c r="AT10" i="31"/>
  <c r="AT11" i="31"/>
  <c r="AT12" i="31"/>
  <c r="AT13" i="31"/>
  <c r="AT14" i="31"/>
  <c r="AT15" i="31"/>
  <c r="AT16" i="31"/>
  <c r="AT17" i="31"/>
  <c r="AT18" i="31"/>
  <c r="AT19" i="31"/>
  <c r="AT20" i="31"/>
  <c r="AT21" i="31"/>
  <c r="AT22" i="31"/>
  <c r="AT23" i="31"/>
  <c r="AS6" i="31"/>
  <c r="AS7" i="31"/>
  <c r="AS8" i="31"/>
  <c r="AS9" i="31"/>
  <c r="AS10" i="31"/>
  <c r="AS11" i="31"/>
  <c r="AS12" i="31"/>
  <c r="AS13" i="31"/>
  <c r="AS14" i="31"/>
  <c r="AS15" i="31"/>
  <c r="AS16" i="31"/>
  <c r="AS17" i="31"/>
  <c r="AS18" i="31"/>
  <c r="AS19" i="31"/>
  <c r="AS20" i="31"/>
  <c r="AS21" i="31"/>
  <c r="AS22" i="31"/>
  <c r="AS23" i="31"/>
  <c r="AR6" i="31"/>
  <c r="AR7" i="31"/>
  <c r="AR8" i="31"/>
  <c r="AR9" i="31"/>
  <c r="AR10" i="31"/>
  <c r="AR11" i="31"/>
  <c r="AR12" i="31"/>
  <c r="AR13" i="31"/>
  <c r="AR14" i="31"/>
  <c r="AR15" i="31"/>
  <c r="AR16" i="31"/>
  <c r="AR17" i="31"/>
  <c r="AR18" i="31"/>
  <c r="AR19" i="31"/>
  <c r="AR20" i="31"/>
  <c r="AR21" i="31"/>
  <c r="AR22" i="31"/>
  <c r="AR23" i="31"/>
  <c r="AQ6" i="31"/>
  <c r="AQ7" i="31"/>
  <c r="AQ8" i="31"/>
  <c r="AQ9" i="31"/>
  <c r="AQ10" i="31"/>
  <c r="AQ11" i="31"/>
  <c r="AQ12" i="31"/>
  <c r="AQ13" i="31"/>
  <c r="AQ14" i="31"/>
  <c r="AQ15" i="31"/>
  <c r="AQ16" i="31"/>
  <c r="AQ17" i="31"/>
  <c r="AQ18" i="31"/>
  <c r="AQ19" i="31"/>
  <c r="AQ20" i="31"/>
  <c r="AQ21" i="31"/>
  <c r="AQ22" i="31"/>
  <c r="AQ23" i="31"/>
  <c r="AP6" i="31"/>
  <c r="AP7" i="31"/>
  <c r="AP8" i="31"/>
  <c r="AP9" i="31"/>
  <c r="AP10" i="31"/>
  <c r="AP11" i="31"/>
  <c r="AP12" i="31"/>
  <c r="AP13" i="31"/>
  <c r="AP14" i="31"/>
  <c r="AP15" i="31"/>
  <c r="AP16" i="31"/>
  <c r="AP17" i="31"/>
  <c r="AP18" i="31"/>
  <c r="AP19" i="31"/>
  <c r="AP20" i="31"/>
  <c r="AP21" i="31"/>
  <c r="AP22" i="31"/>
  <c r="AP23" i="31"/>
  <c r="AO6" i="31"/>
  <c r="AO7" i="31"/>
  <c r="AO8" i="31"/>
  <c r="AO9" i="31"/>
  <c r="AO10" i="31"/>
  <c r="AO11" i="31"/>
  <c r="AO12" i="31"/>
  <c r="AO13" i="31"/>
  <c r="AO14" i="31"/>
  <c r="AO15" i="31"/>
  <c r="AO16" i="31"/>
  <c r="AO17" i="31"/>
  <c r="AO18" i="31"/>
  <c r="AO19" i="31"/>
  <c r="AO20" i="31"/>
  <c r="AO21" i="31"/>
  <c r="AO22" i="31"/>
  <c r="AO23" i="31"/>
  <c r="AN6" i="31"/>
  <c r="AN7" i="31"/>
  <c r="AN8" i="31"/>
  <c r="AN9" i="31"/>
  <c r="AN10" i="31"/>
  <c r="AN11" i="31"/>
  <c r="AN12" i="31"/>
  <c r="AN13" i="31"/>
  <c r="AN14" i="31"/>
  <c r="AN15" i="31"/>
  <c r="AN16" i="31"/>
  <c r="AN17" i="31"/>
  <c r="AN18" i="31"/>
  <c r="AN19" i="31"/>
  <c r="AN20" i="31"/>
  <c r="AN21" i="31"/>
  <c r="AN22" i="31"/>
  <c r="AN23" i="31"/>
  <c r="AM6" i="31"/>
  <c r="AM7" i="31"/>
  <c r="AM8" i="31"/>
  <c r="AM9" i="31"/>
  <c r="AM10" i="31"/>
  <c r="AM11" i="31"/>
  <c r="AM12" i="31"/>
  <c r="AM13" i="31"/>
  <c r="AM14" i="31"/>
  <c r="AM15" i="31"/>
  <c r="AM16" i="31"/>
  <c r="AM17" i="31"/>
  <c r="AM18" i="31"/>
  <c r="AM19" i="31"/>
  <c r="AM20" i="31"/>
  <c r="AM21" i="31"/>
  <c r="AM22" i="31"/>
  <c r="AM23" i="31"/>
  <c r="AL6" i="31"/>
  <c r="AL7" i="31"/>
  <c r="AL8" i="31"/>
  <c r="AL9" i="31"/>
  <c r="AL10" i="31"/>
  <c r="AL11" i="31"/>
  <c r="AL12" i="31"/>
  <c r="AL13" i="31"/>
  <c r="AL14" i="31"/>
  <c r="AL15" i="31"/>
  <c r="AL16" i="31"/>
  <c r="AL17" i="31"/>
  <c r="AL18" i="31"/>
  <c r="AL19" i="31"/>
  <c r="AL20" i="31"/>
  <c r="AL21" i="31"/>
  <c r="AL22" i="31"/>
  <c r="AL23" i="31"/>
  <c r="AK6" i="31"/>
  <c r="AK7" i="31"/>
  <c r="AK8" i="31"/>
  <c r="AK9" i="31"/>
  <c r="AK10" i="31"/>
  <c r="AK11" i="31"/>
  <c r="AK12" i="31"/>
  <c r="AK13" i="31"/>
  <c r="AK14" i="31"/>
  <c r="AK15" i="31"/>
  <c r="AK16" i="31"/>
  <c r="AK17" i="31"/>
  <c r="AK18" i="31"/>
  <c r="AK19" i="31"/>
  <c r="AK20" i="31"/>
  <c r="AK21" i="31"/>
  <c r="AK22" i="31"/>
  <c r="AK23" i="31"/>
  <c r="AJ6" i="31"/>
  <c r="AJ7" i="31"/>
  <c r="AJ8" i="31"/>
  <c r="AJ9" i="31"/>
  <c r="AJ10" i="31"/>
  <c r="AJ11" i="31"/>
  <c r="AJ12" i="31"/>
  <c r="AJ13" i="31"/>
  <c r="AJ14" i="31"/>
  <c r="AJ15" i="31"/>
  <c r="AJ16" i="31"/>
  <c r="AJ17" i="31"/>
  <c r="AJ18" i="31"/>
  <c r="AJ19" i="31"/>
  <c r="AJ20" i="31"/>
  <c r="AJ21" i="31"/>
  <c r="AJ22" i="31"/>
  <c r="AJ23" i="31"/>
  <c r="AI6" i="31"/>
  <c r="AI7" i="31"/>
  <c r="AI8" i="31"/>
  <c r="AI9" i="31"/>
  <c r="AI10" i="31"/>
  <c r="AI11" i="31"/>
  <c r="AI12" i="31"/>
  <c r="AI13" i="31"/>
  <c r="AI14" i="31"/>
  <c r="AI15" i="31"/>
  <c r="AI16" i="31"/>
  <c r="AI17" i="31"/>
  <c r="AI18" i="31"/>
  <c r="AI19" i="31"/>
  <c r="AI20" i="31"/>
  <c r="AI21" i="31"/>
  <c r="AI22" i="31"/>
  <c r="AI23" i="3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23" i="31"/>
  <c r="I22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F13" i="7"/>
  <c r="E13" i="7"/>
  <c r="D13" i="7"/>
  <c r="F12" i="7"/>
  <c r="E12" i="7"/>
  <c r="D12" i="7"/>
  <c r="N25" i="31" l="1"/>
  <c r="AV47" i="31"/>
  <c r="AB47" i="31" s="1"/>
  <c r="AA13" i="7" s="1"/>
  <c r="G20" i="40"/>
  <c r="G21" i="40" s="1"/>
  <c r="H20" i="40"/>
  <c r="J20" i="40"/>
  <c r="I20" i="40"/>
  <c r="M20" i="40"/>
  <c r="L20" i="40"/>
  <c r="K20" i="40"/>
  <c r="N20" i="40"/>
  <c r="J504" i="40"/>
  <c r="J502" i="40"/>
  <c r="J500" i="40"/>
  <c r="J495" i="40"/>
  <c r="J493" i="40"/>
  <c r="I504" i="40"/>
  <c r="I502" i="40"/>
  <c r="I500" i="40"/>
  <c r="I495" i="40"/>
  <c r="I493" i="40"/>
  <c r="H504" i="40"/>
  <c r="H502" i="40"/>
  <c r="H500" i="40"/>
  <c r="H495" i="40"/>
  <c r="H493" i="40"/>
  <c r="G502" i="40"/>
  <c r="K503" i="40"/>
  <c r="K492" i="40"/>
  <c r="G494" i="40"/>
  <c r="K502" i="40"/>
  <c r="N503" i="40"/>
  <c r="N501" i="40"/>
  <c r="N496" i="40"/>
  <c r="N494" i="40"/>
  <c r="N492" i="40"/>
  <c r="M503" i="40"/>
  <c r="M501" i="40"/>
  <c r="M496" i="40"/>
  <c r="M494" i="40"/>
  <c r="M492" i="40"/>
  <c r="L503" i="40"/>
  <c r="L501" i="40"/>
  <c r="L496" i="40"/>
  <c r="L494" i="40"/>
  <c r="L492" i="40"/>
  <c r="G500" i="40"/>
  <c r="K501" i="40"/>
  <c r="G503" i="40"/>
  <c r="G492" i="40"/>
  <c r="K493" i="40"/>
  <c r="J503" i="40"/>
  <c r="J501" i="40"/>
  <c r="J496" i="40"/>
  <c r="J494" i="40"/>
  <c r="J492" i="40"/>
  <c r="I503" i="40"/>
  <c r="I501" i="40"/>
  <c r="I496" i="40"/>
  <c r="I494" i="40"/>
  <c r="I492" i="40"/>
  <c r="H503" i="40"/>
  <c r="H505" i="40" s="1"/>
  <c r="H415" i="40" s="1"/>
  <c r="H501" i="40"/>
  <c r="H496" i="40"/>
  <c r="H494" i="40"/>
  <c r="H492" i="40"/>
  <c r="G495" i="40"/>
  <c r="K496" i="40"/>
  <c r="G501" i="40"/>
  <c r="K504" i="40"/>
  <c r="K500" i="40"/>
  <c r="N504" i="40"/>
  <c r="N502" i="40"/>
  <c r="N500" i="40"/>
  <c r="N495" i="40"/>
  <c r="N497" i="40" s="1"/>
  <c r="N493" i="40"/>
  <c r="M504" i="40"/>
  <c r="M502" i="40"/>
  <c r="M500" i="40"/>
  <c r="M505" i="40" s="1"/>
  <c r="M495" i="40"/>
  <c r="M493" i="40"/>
  <c r="L504" i="40"/>
  <c r="L502" i="40"/>
  <c r="L500" i="40"/>
  <c r="L495" i="40"/>
  <c r="L493" i="40"/>
  <c r="G504" i="40"/>
  <c r="G493" i="40"/>
  <c r="K494" i="40"/>
  <c r="G496" i="40"/>
  <c r="K495" i="40"/>
  <c r="F2" i="33"/>
  <c r="F25" i="33" s="1"/>
  <c r="G54" i="6"/>
  <c r="F54" i="6"/>
  <c r="H54" i="6"/>
  <c r="AL47" i="31"/>
  <c r="R47" i="31" s="1"/>
  <c r="Q13" i="7" s="1"/>
  <c r="AN47" i="31"/>
  <c r="T47" i="31" s="1"/>
  <c r="S13" i="7" s="1"/>
  <c r="AJ47" i="31"/>
  <c r="P47" i="31" s="1"/>
  <c r="O13" i="7" s="1"/>
  <c r="M106" i="8"/>
  <c r="AI24" i="31"/>
  <c r="O24" i="31" s="1"/>
  <c r="N12" i="7" s="1"/>
  <c r="AX47" i="31"/>
  <c r="AD47" i="31" s="1"/>
  <c r="AC13" i="7" s="1"/>
  <c r="F48" i="9"/>
  <c r="I106" i="8"/>
  <c r="AM24" i="31"/>
  <c r="S24" i="31" s="1"/>
  <c r="R12" i="7" s="1"/>
  <c r="AX24" i="31"/>
  <c r="AD24" i="31" s="1"/>
  <c r="AC12" i="7" s="1"/>
  <c r="AZ24" i="31"/>
  <c r="AF24" i="31" s="1"/>
  <c r="AE12" i="7" s="1"/>
  <c r="AR47" i="31"/>
  <c r="X47" i="31" s="1"/>
  <c r="W13" i="7" s="1"/>
  <c r="AT47" i="31"/>
  <c r="Z47" i="31" s="1"/>
  <c r="Y13" i="7" s="1"/>
  <c r="I47" i="31"/>
  <c r="H13" i="7" s="1"/>
  <c r="AP47" i="31"/>
  <c r="V47" i="31" s="1"/>
  <c r="U13" i="7" s="1"/>
  <c r="AZ47" i="31"/>
  <c r="AF47" i="31" s="1"/>
  <c r="AE13" i="7" s="1"/>
  <c r="M26" i="3"/>
  <c r="K26" i="3"/>
  <c r="I26" i="3"/>
  <c r="Q1" i="3"/>
  <c r="AM47" i="31"/>
  <c r="S47" i="31" s="1"/>
  <c r="R13" i="7" s="1"/>
  <c r="AU47" i="31"/>
  <c r="AA47" i="31" s="1"/>
  <c r="Z13" i="7" s="1"/>
  <c r="I71" i="8"/>
  <c r="AJ24" i="31"/>
  <c r="P24" i="31" s="1"/>
  <c r="O12" i="7" s="1"/>
  <c r="AL24" i="31"/>
  <c r="R24" i="31" s="1"/>
  <c r="Q12" i="7" s="1"/>
  <c r="AN24" i="31"/>
  <c r="T24" i="31" s="1"/>
  <c r="S12" i="7" s="1"/>
  <c r="AO24" i="31"/>
  <c r="U24" i="31" s="1"/>
  <c r="T12" i="7" s="1"/>
  <c r="AP24" i="31"/>
  <c r="V24" i="31" s="1"/>
  <c r="U12" i="7" s="1"/>
  <c r="AQ24" i="31"/>
  <c r="W24" i="31" s="1"/>
  <c r="V12" i="7" s="1"/>
  <c r="AR24" i="31"/>
  <c r="X24" i="31" s="1"/>
  <c r="W12" i="7" s="1"/>
  <c r="AS24" i="31"/>
  <c r="Y24" i="31" s="1"/>
  <c r="X12" i="7" s="1"/>
  <c r="AT24" i="31"/>
  <c r="Z24" i="31" s="1"/>
  <c r="Y12" i="7" s="1"/>
  <c r="AU24" i="31"/>
  <c r="AA24" i="31" s="1"/>
  <c r="Z12" i="7" s="1"/>
  <c r="AV24" i="31"/>
  <c r="AB24" i="31" s="1"/>
  <c r="AA12" i="7" s="1"/>
  <c r="AW24" i="31"/>
  <c r="AC24" i="31" s="1"/>
  <c r="AB12" i="7" s="1"/>
  <c r="AY24" i="31"/>
  <c r="AE24" i="31" s="1"/>
  <c r="AD12" i="7" s="1"/>
  <c r="BA24" i="31"/>
  <c r="AG24" i="31" s="1"/>
  <c r="AF12" i="7" s="1"/>
  <c r="AI47" i="31"/>
  <c r="O47" i="31" s="1"/>
  <c r="N13" i="7" s="1"/>
  <c r="AQ47" i="31"/>
  <c r="W47" i="31" s="1"/>
  <c r="V13" i="7" s="1"/>
  <c r="AY47" i="31"/>
  <c r="AE47" i="31" s="1"/>
  <c r="AD13" i="7" s="1"/>
  <c r="K106" i="8"/>
  <c r="AK47" i="31"/>
  <c r="Q47" i="31" s="1"/>
  <c r="P13" i="7" s="1"/>
  <c r="AS47" i="31"/>
  <c r="Y47" i="31" s="1"/>
  <c r="X13" i="7" s="1"/>
  <c r="BA47" i="31"/>
  <c r="AG47" i="31" s="1"/>
  <c r="AF13" i="7" s="1"/>
  <c r="I24" i="31"/>
  <c r="H12" i="7" s="1"/>
  <c r="AK24" i="31"/>
  <c r="Q24" i="31" s="1"/>
  <c r="P12" i="7" s="1"/>
  <c r="AO47" i="31"/>
  <c r="U47" i="31" s="1"/>
  <c r="T13" i="7" s="1"/>
  <c r="AW47" i="31"/>
  <c r="AC47" i="31" s="1"/>
  <c r="AB13" i="7" s="1"/>
  <c r="J2" i="31"/>
  <c r="H25" i="31" s="1"/>
  <c r="H48" i="31" s="1"/>
  <c r="H20" i="8"/>
  <c r="N48" i="9" l="1"/>
  <c r="F71" i="9"/>
  <c r="N71" i="9" s="1"/>
  <c r="O106" i="8"/>
  <c r="N82" i="8" s="1"/>
  <c r="J497" i="40"/>
  <c r="L497" i="40"/>
  <c r="L505" i="40"/>
  <c r="H497" i="40"/>
  <c r="J505" i="40"/>
  <c r="I497" i="40"/>
  <c r="G505" i="40"/>
  <c r="G415" i="40" s="1"/>
  <c r="G418" i="40" s="1"/>
  <c r="I505" i="40"/>
  <c r="I415" i="40" s="1"/>
  <c r="I418" i="40" s="1"/>
  <c r="I50" i="40" s="1"/>
  <c r="G497" i="40"/>
  <c r="K505" i="40"/>
  <c r="M497" i="40"/>
  <c r="N505" i="40"/>
  <c r="K497" i="40"/>
  <c r="H418" i="40"/>
  <c r="H50" i="40" s="1"/>
  <c r="H416" i="40"/>
  <c r="L21" i="37"/>
  <c r="H30" i="34" s="1"/>
  <c r="I30" i="34" s="1"/>
  <c r="I32" i="34" s="1"/>
  <c r="I47" i="34" s="1"/>
  <c r="I19" i="34" s="1"/>
  <c r="F21" i="40"/>
  <c r="G15" i="40"/>
  <c r="G6" i="35"/>
  <c r="O26" i="3"/>
  <c r="N2" i="3" s="1"/>
  <c r="J2" i="9" l="1"/>
  <c r="J16" i="9"/>
  <c r="K16" i="9"/>
  <c r="G416" i="40"/>
  <c r="G48" i="40" s="1"/>
  <c r="I416" i="40"/>
  <c r="I321" i="40" s="1"/>
  <c r="I320" i="40" s="1"/>
  <c r="I319" i="40" s="1"/>
  <c r="F15" i="40"/>
  <c r="G13" i="40"/>
  <c r="H431" i="40"/>
  <c r="H432" i="40" s="1"/>
  <c r="H321" i="40"/>
  <c r="H320" i="40" s="1"/>
  <c r="H319" i="40" s="1"/>
  <c r="H48" i="40"/>
  <c r="H61" i="40" s="1"/>
  <c r="H62" i="40" s="1"/>
  <c r="I431" i="40"/>
  <c r="I432" i="40" s="1"/>
  <c r="I48" i="40"/>
  <c r="I61" i="40" s="1"/>
  <c r="I62" i="40" s="1"/>
  <c r="F418" i="40"/>
  <c r="F50" i="40" s="1"/>
  <c r="G50" i="40"/>
  <c r="N5" i="3"/>
  <c r="O5" i="3" s="1"/>
  <c r="N6" i="3"/>
  <c r="O6" i="3" s="1"/>
  <c r="N25" i="33"/>
  <c r="G5" i="35"/>
  <c r="H8" i="35"/>
  <c r="G431" i="40" l="1"/>
  <c r="F416" i="40"/>
  <c r="F48" i="40" s="1"/>
  <c r="G321" i="40"/>
  <c r="G320" i="40" s="1"/>
  <c r="H437" i="40"/>
  <c r="H442" i="40" s="1"/>
  <c r="H464" i="40"/>
  <c r="H467" i="40" s="1"/>
  <c r="G61" i="40"/>
  <c r="F61" i="40" s="1"/>
  <c r="I437" i="40"/>
  <c r="I442" i="40" s="1"/>
  <c r="I464" i="40"/>
  <c r="I467" i="40" s="1"/>
  <c r="G77" i="40"/>
  <c r="F13" i="40"/>
  <c r="G63" i="40"/>
  <c r="F63" i="40" s="1"/>
  <c r="F431" i="40"/>
  <c r="G432" i="40"/>
  <c r="F321" i="40"/>
  <c r="F62" i="40"/>
  <c r="H76" i="1"/>
  <c r="I76" i="1" s="1"/>
  <c r="I93" i="1" s="1"/>
  <c r="F2" i="1"/>
  <c r="J2" i="33"/>
  <c r="G8" i="35"/>
  <c r="I8" i="1" l="1"/>
  <c r="I16" i="1" s="1"/>
  <c r="G14" i="41" s="1"/>
  <c r="F432" i="40"/>
  <c r="G464" i="40"/>
  <c r="G437" i="40"/>
  <c r="I444" i="40"/>
  <c r="I443" i="40"/>
  <c r="H64" i="40"/>
  <c r="I64" i="40"/>
  <c r="M64" i="40"/>
  <c r="J64" i="40"/>
  <c r="N64" i="40"/>
  <c r="G64" i="40"/>
  <c r="K64" i="40"/>
  <c r="L64" i="40"/>
  <c r="F77" i="40"/>
  <c r="G80" i="40"/>
  <c r="F320" i="40"/>
  <c r="G319" i="40"/>
  <c r="H444" i="40"/>
  <c r="H443" i="40"/>
  <c r="F25" i="1"/>
  <c r="G225" i="35"/>
  <c r="H79" i="35"/>
  <c r="H13" i="35"/>
  <c r="H49" i="35"/>
  <c r="H83" i="35"/>
  <c r="H50" i="35"/>
  <c r="H82" i="35"/>
  <c r="H51" i="35"/>
  <c r="H80" i="35"/>
  <c r="H86" i="35"/>
  <c r="H85" i="35"/>
  <c r="H88" i="35"/>
  <c r="H87" i="35"/>
  <c r="H81" i="35"/>
  <c r="H48" i="35"/>
  <c r="H89" i="35"/>
  <c r="H47" i="35"/>
  <c r="G308" i="41" l="1"/>
  <c r="F308" i="41" s="1"/>
  <c r="F14" i="41"/>
  <c r="G27" i="41"/>
  <c r="G18" i="41"/>
  <c r="F18" i="41" s="1"/>
  <c r="G14" i="37"/>
  <c r="G308" i="37" s="1"/>
  <c r="F64" i="40"/>
  <c r="F65" i="40" s="1"/>
  <c r="K65" i="40" s="1"/>
  <c r="G4" i="40"/>
  <c r="F4" i="40" s="1"/>
  <c r="F80" i="40"/>
  <c r="G442" i="40"/>
  <c r="F437" i="40"/>
  <c r="F439" i="40" s="1"/>
  <c r="F319" i="40"/>
  <c r="F464" i="40"/>
  <c r="G467" i="40"/>
  <c r="F467" i="40" s="1"/>
  <c r="G334" i="41"/>
  <c r="F27" i="41"/>
  <c r="F48" i="1"/>
  <c r="N25" i="1"/>
  <c r="G12" i="35"/>
  <c r="H14" i="35"/>
  <c r="H9" i="35"/>
  <c r="G13" i="35"/>
  <c r="H10" i="35"/>
  <c r="G51" i="35"/>
  <c r="H84" i="35"/>
  <c r="G88" i="35"/>
  <c r="G49" i="35"/>
  <c r="G89" i="35"/>
  <c r="G50" i="35"/>
  <c r="G87" i="35"/>
  <c r="H78" i="35"/>
  <c r="G48" i="35"/>
  <c r="G47" i="35"/>
  <c r="G43" i="37" l="1"/>
  <c r="G18" i="37" s="1"/>
  <c r="F18" i="37" s="1"/>
  <c r="F14" i="37"/>
  <c r="N65" i="40"/>
  <c r="L65" i="40"/>
  <c r="G27" i="37"/>
  <c r="G334" i="37" s="1"/>
  <c r="H65" i="40"/>
  <c r="M65" i="40"/>
  <c r="I65" i="40"/>
  <c r="G65" i="40"/>
  <c r="G66" i="40" s="1"/>
  <c r="F66" i="40" s="1"/>
  <c r="J65" i="40"/>
  <c r="G443" i="40"/>
  <c r="F443" i="40" s="1"/>
  <c r="G444" i="40"/>
  <c r="F444" i="40" s="1"/>
  <c r="F454" i="40" s="1"/>
  <c r="F442" i="40"/>
  <c r="G509" i="40"/>
  <c r="G508" i="40"/>
  <c r="G511" i="40" s="1"/>
  <c r="E442" i="40" s="1"/>
  <c r="G510" i="40"/>
  <c r="F308" i="37"/>
  <c r="G359" i="41"/>
  <c r="G357" i="41"/>
  <c r="F357" i="41" s="1"/>
  <c r="F334" i="41"/>
  <c r="F43" i="37"/>
  <c r="G350" i="37"/>
  <c r="N48" i="1"/>
  <c r="F71" i="1"/>
  <c r="F94" i="1" s="1"/>
  <c r="N94" i="1" s="1"/>
  <c r="G10" i="35"/>
  <c r="G14" i="35"/>
  <c r="H11" i="35"/>
  <c r="G84" i="35"/>
  <c r="H91" i="35"/>
  <c r="G78" i="35"/>
  <c r="F27" i="37" l="1"/>
  <c r="L59" i="37"/>
  <c r="L62" i="37" s="1"/>
  <c r="G67" i="40"/>
  <c r="G71" i="40" s="1"/>
  <c r="F71" i="40" s="1"/>
  <c r="E443" i="40"/>
  <c r="E453" i="40" s="1"/>
  <c r="F453" i="40" s="1"/>
  <c r="E452" i="40"/>
  <c r="F452" i="40" s="1"/>
  <c r="L428" i="37"/>
  <c r="I454" i="40"/>
  <c r="H454" i="40"/>
  <c r="G70" i="40"/>
  <c r="L487" i="41"/>
  <c r="L485" i="41"/>
  <c r="L483" i="41"/>
  <c r="L477" i="41"/>
  <c r="L475" i="41"/>
  <c r="M487" i="41"/>
  <c r="G485" i="41"/>
  <c r="M478" i="41"/>
  <c r="G476" i="41"/>
  <c r="K487" i="41"/>
  <c r="N484" i="41"/>
  <c r="N477" i="41"/>
  <c r="I475" i="41"/>
  <c r="G486" i="41"/>
  <c r="J483" i="41"/>
  <c r="J476" i="41"/>
  <c r="N487" i="41"/>
  <c r="I487" i="41"/>
  <c r="K486" i="41"/>
  <c r="N476" i="41"/>
  <c r="L486" i="41"/>
  <c r="L484" i="41"/>
  <c r="L478" i="41"/>
  <c r="L476" i="41"/>
  <c r="J486" i="41"/>
  <c r="M483" i="41"/>
  <c r="M474" i="41"/>
  <c r="K483" i="41"/>
  <c r="J487" i="41"/>
  <c r="M477" i="41"/>
  <c r="N478" i="41"/>
  <c r="K477" i="41"/>
  <c r="I474" i="41"/>
  <c r="H484" i="41"/>
  <c r="H476" i="41"/>
  <c r="M485" i="41"/>
  <c r="M476" i="41"/>
  <c r="G474" i="41"/>
  <c r="K478" i="41"/>
  <c r="M486" i="41"/>
  <c r="G477" i="41"/>
  <c r="I476" i="41"/>
  <c r="N474" i="41"/>
  <c r="H487" i="41"/>
  <c r="H485" i="41"/>
  <c r="H483" i="41"/>
  <c r="H477" i="41"/>
  <c r="H475" i="41"/>
  <c r="G487" i="41"/>
  <c r="J484" i="41"/>
  <c r="G478" i="41"/>
  <c r="J475" i="41"/>
  <c r="N486" i="41"/>
  <c r="I484" i="41"/>
  <c r="I477" i="41"/>
  <c r="K474" i="41"/>
  <c r="J485" i="41"/>
  <c r="J478" i="41"/>
  <c r="M475" i="41"/>
  <c r="I485" i="41"/>
  <c r="K484" i="41"/>
  <c r="N483" i="41"/>
  <c r="N485" i="41"/>
  <c r="L474" i="41"/>
  <c r="J477" i="41"/>
  <c r="I486" i="41"/>
  <c r="K476" i="41"/>
  <c r="M484" i="41"/>
  <c r="G475" i="41"/>
  <c r="I478" i="41"/>
  <c r="H486" i="41"/>
  <c r="H478" i="41"/>
  <c r="H474" i="41"/>
  <c r="G483" i="41"/>
  <c r="K485" i="41"/>
  <c r="N475" i="41"/>
  <c r="G484" i="41"/>
  <c r="J474" i="41"/>
  <c r="K475" i="41"/>
  <c r="I483" i="41"/>
  <c r="F359" i="41"/>
  <c r="G357" i="37"/>
  <c r="F357" i="37" s="1"/>
  <c r="G359" i="37"/>
  <c r="F334" i="37"/>
  <c r="G397" i="37"/>
  <c r="G311" i="37"/>
  <c r="F350" i="37"/>
  <c r="G371" i="37"/>
  <c r="G410" i="37"/>
  <c r="N71" i="1"/>
  <c r="G91" i="35"/>
  <c r="G11" i="35"/>
  <c r="H27" i="35"/>
  <c r="G488" i="41" l="1"/>
  <c r="G489" i="41" s="1"/>
  <c r="G376" i="41" s="1"/>
  <c r="G379" i="41" s="1"/>
  <c r="J488" i="41"/>
  <c r="J489" i="41" s="1"/>
  <c r="J376" i="41" s="1"/>
  <c r="L488" i="41"/>
  <c r="L489" i="41" s="1"/>
  <c r="L479" i="41"/>
  <c r="L480" i="41" s="1"/>
  <c r="K479" i="41"/>
  <c r="K480" i="41" s="1"/>
  <c r="K488" i="41"/>
  <c r="K489" i="41" s="1"/>
  <c r="K376" i="41" s="1"/>
  <c r="K379" i="41" s="1"/>
  <c r="K400" i="41" s="1"/>
  <c r="F67" i="40"/>
  <c r="N488" i="41"/>
  <c r="N489" i="41" s="1"/>
  <c r="G479" i="41"/>
  <c r="G480" i="41" s="1"/>
  <c r="G374" i="41" s="1"/>
  <c r="G378" i="41" s="1"/>
  <c r="I479" i="41"/>
  <c r="I480" i="41" s="1"/>
  <c r="I488" i="41"/>
  <c r="I489" i="41" s="1"/>
  <c r="I376" i="41" s="1"/>
  <c r="I379" i="41" s="1"/>
  <c r="I400" i="41" s="1"/>
  <c r="H488" i="41"/>
  <c r="H489" i="41" s="1"/>
  <c r="H376" i="41" s="1"/>
  <c r="H379" i="41" s="1"/>
  <c r="H400" i="41" s="1"/>
  <c r="M488" i="41"/>
  <c r="M489" i="41" s="1"/>
  <c r="G454" i="40"/>
  <c r="L323" i="37"/>
  <c r="L322" i="37"/>
  <c r="H452" i="40"/>
  <c r="I452" i="40"/>
  <c r="H453" i="40"/>
  <c r="H326" i="40" s="1"/>
  <c r="I453" i="40"/>
  <c r="I326" i="40" s="1"/>
  <c r="H479" i="41"/>
  <c r="H480" i="41" s="1"/>
  <c r="J479" i="41"/>
  <c r="J480" i="41" s="1"/>
  <c r="N479" i="41"/>
  <c r="N480" i="41" s="1"/>
  <c r="M479" i="41"/>
  <c r="M480" i="41" s="1"/>
  <c r="G309" i="37"/>
  <c r="F410" i="37"/>
  <c r="G430" i="37"/>
  <c r="F359" i="37"/>
  <c r="K377" i="41"/>
  <c r="L487" i="37"/>
  <c r="L478" i="37"/>
  <c r="K487" i="37"/>
  <c r="K478" i="37"/>
  <c r="J487" i="37"/>
  <c r="J478" i="37"/>
  <c r="L486" i="37"/>
  <c r="L477" i="37"/>
  <c r="Q486" i="37"/>
  <c r="Q484" i="37"/>
  <c r="Q478" i="37"/>
  <c r="Q476" i="37"/>
  <c r="Q474" i="37"/>
  <c r="P486" i="37"/>
  <c r="P484" i="37"/>
  <c r="P478" i="37"/>
  <c r="P476" i="37"/>
  <c r="P474" i="37"/>
  <c r="O486" i="37"/>
  <c r="O484" i="37"/>
  <c r="O478" i="37"/>
  <c r="O476" i="37"/>
  <c r="O474" i="37"/>
  <c r="N483" i="37"/>
  <c r="G487" i="37"/>
  <c r="G476" i="37"/>
  <c r="N477" i="37"/>
  <c r="G486" i="37"/>
  <c r="J485" i="37"/>
  <c r="L484" i="37"/>
  <c r="K484" i="37"/>
  <c r="K485" i="37"/>
  <c r="Q487" i="37"/>
  <c r="Q485" i="37"/>
  <c r="Q483" i="37"/>
  <c r="Q477" i="37"/>
  <c r="P487" i="37"/>
  <c r="P485" i="37"/>
  <c r="P483" i="37"/>
  <c r="P475" i="37"/>
  <c r="O485" i="37"/>
  <c r="O477" i="37"/>
  <c r="N487" i="37"/>
  <c r="G483" i="37"/>
  <c r="G484" i="37"/>
  <c r="L474" i="37"/>
  <c r="J483" i="37"/>
  <c r="J484" i="37"/>
  <c r="M487" i="37"/>
  <c r="M483" i="37"/>
  <c r="M475" i="37"/>
  <c r="I485" i="37"/>
  <c r="I477" i="37"/>
  <c r="H487" i="37"/>
  <c r="H483" i="37"/>
  <c r="H475" i="37"/>
  <c r="N474" i="37"/>
  <c r="N484" i="37"/>
  <c r="K486" i="37"/>
  <c r="K477" i="37"/>
  <c r="J486" i="37"/>
  <c r="J477" i="37"/>
  <c r="L485" i="37"/>
  <c r="L476" i="37"/>
  <c r="J475" i="37"/>
  <c r="K476" i="37"/>
  <c r="M486" i="37"/>
  <c r="M484" i="37"/>
  <c r="M478" i="37"/>
  <c r="M476" i="37"/>
  <c r="M474" i="37"/>
  <c r="I486" i="37"/>
  <c r="I484" i="37"/>
  <c r="I478" i="37"/>
  <c r="I476" i="37"/>
  <c r="I474" i="37"/>
  <c r="H486" i="37"/>
  <c r="H484" i="37"/>
  <c r="H478" i="37"/>
  <c r="H476" i="37"/>
  <c r="H474" i="37"/>
  <c r="N478" i="37"/>
  <c r="G485" i="37"/>
  <c r="G474" i="37"/>
  <c r="N475" i="37"/>
  <c r="G477" i="37"/>
  <c r="J476" i="37"/>
  <c r="L475" i="37"/>
  <c r="K475" i="37"/>
  <c r="Q475" i="37"/>
  <c r="P477" i="37"/>
  <c r="O487" i="37"/>
  <c r="O483" i="37"/>
  <c r="O475" i="37"/>
  <c r="N476" i="37"/>
  <c r="N486" i="37"/>
  <c r="L483" i="37"/>
  <c r="K483" i="37"/>
  <c r="K474" i="37"/>
  <c r="J474" i="37"/>
  <c r="M485" i="37"/>
  <c r="M477" i="37"/>
  <c r="I487" i="37"/>
  <c r="I483" i="37"/>
  <c r="I475" i="37"/>
  <c r="H485" i="37"/>
  <c r="H477" i="37"/>
  <c r="N485" i="37"/>
  <c r="G478" i="37"/>
  <c r="G475" i="37"/>
  <c r="J377" i="41"/>
  <c r="J379" i="41"/>
  <c r="J400" i="41" s="1"/>
  <c r="G400" i="41"/>
  <c r="F397" i="37"/>
  <c r="F371" i="37"/>
  <c r="F389" i="37" s="1"/>
  <c r="G389" i="37"/>
  <c r="G377" i="41"/>
  <c r="J2" i="1"/>
  <c r="F2" i="34" s="1"/>
  <c r="F25" i="34" s="1"/>
  <c r="H53" i="35"/>
  <c r="H92" i="35" s="1"/>
  <c r="K488" i="37" l="1"/>
  <c r="K489" i="37" s="1"/>
  <c r="M479" i="37"/>
  <c r="M480" i="37" s="1"/>
  <c r="H377" i="41"/>
  <c r="G375" i="41"/>
  <c r="H488" i="37"/>
  <c r="H489" i="37" s="1"/>
  <c r="N479" i="37"/>
  <c r="N480" i="37" s="1"/>
  <c r="P488" i="37"/>
  <c r="P489" i="37" s="1"/>
  <c r="N488" i="37"/>
  <c r="N489" i="37" s="1"/>
  <c r="I377" i="41"/>
  <c r="I398" i="41" s="1"/>
  <c r="O488" i="37"/>
  <c r="O489" i="37" s="1"/>
  <c r="J479" i="37"/>
  <c r="J480" i="37" s="1"/>
  <c r="J488" i="37"/>
  <c r="J489" i="37" s="1"/>
  <c r="Q488" i="37"/>
  <c r="Q489" i="37" s="1"/>
  <c r="O479" i="37"/>
  <c r="O480" i="37" s="1"/>
  <c r="G452" i="40"/>
  <c r="L488" i="37"/>
  <c r="L489" i="37" s="1"/>
  <c r="L376" i="37" s="1"/>
  <c r="L379" i="37" s="1"/>
  <c r="L400" i="37" s="1"/>
  <c r="L479" i="37"/>
  <c r="L480" i="37" s="1"/>
  <c r="G479" i="37"/>
  <c r="G480" i="37" s="1"/>
  <c r="M488" i="37"/>
  <c r="M489" i="37" s="1"/>
  <c r="G488" i="37"/>
  <c r="G489" i="37" s="1"/>
  <c r="G376" i="37" s="1"/>
  <c r="G379" i="37" s="1"/>
  <c r="G400" i="37" s="1"/>
  <c r="P479" i="37"/>
  <c r="P480" i="37" s="1"/>
  <c r="H463" i="40"/>
  <c r="G453" i="40"/>
  <c r="G326" i="40" s="1"/>
  <c r="F326" i="40" s="1"/>
  <c r="I463" i="40"/>
  <c r="I479" i="37"/>
  <c r="I480" i="37" s="1"/>
  <c r="K479" i="37"/>
  <c r="K480" i="37" s="1"/>
  <c r="H479" i="37"/>
  <c r="H480" i="37" s="1"/>
  <c r="I488" i="37"/>
  <c r="I489" i="37" s="1"/>
  <c r="Q479" i="37"/>
  <c r="Q480" i="37" s="1"/>
  <c r="F375" i="41"/>
  <c r="G397" i="41"/>
  <c r="K390" i="41"/>
  <c r="K398" i="41"/>
  <c r="G398" i="41"/>
  <c r="G390" i="41"/>
  <c r="F378" i="41"/>
  <c r="G399" i="41"/>
  <c r="F430" i="37"/>
  <c r="F58" i="37" s="1"/>
  <c r="G58" i="37"/>
  <c r="H398" i="41"/>
  <c r="H390" i="41"/>
  <c r="F379" i="41"/>
  <c r="F400" i="41"/>
  <c r="J398" i="41"/>
  <c r="J390" i="41"/>
  <c r="J16" i="1"/>
  <c r="K16" i="1"/>
  <c r="F48" i="34"/>
  <c r="N25" i="34"/>
  <c r="G9" i="35"/>
  <c r="L377" i="37" l="1"/>
  <c r="I390" i="41"/>
  <c r="F390" i="41" s="1"/>
  <c r="G463" i="40"/>
  <c r="F377" i="41"/>
  <c r="F463" i="40"/>
  <c r="F69" i="40" s="1"/>
  <c r="G465" i="40"/>
  <c r="G69" i="40"/>
  <c r="I69" i="40"/>
  <c r="I70" i="40" s="1"/>
  <c r="I465" i="40"/>
  <c r="H69" i="40"/>
  <c r="H70" i="40" s="1"/>
  <c r="H465" i="40"/>
  <c r="G377" i="37"/>
  <c r="G390" i="37" s="1"/>
  <c r="G16" i="37" s="1"/>
  <c r="G17" i="37" s="1"/>
  <c r="F17" i="37" s="1"/>
  <c r="F379" i="37"/>
  <c r="F398" i="41"/>
  <c r="L398" i="37"/>
  <c r="L390" i="37"/>
  <c r="G313" i="41"/>
  <c r="G16" i="41"/>
  <c r="G17" i="41" s="1"/>
  <c r="K313" i="41"/>
  <c r="K312" i="41" s="1"/>
  <c r="K307" i="41" s="1"/>
  <c r="K396" i="41" s="1"/>
  <c r="K16" i="41"/>
  <c r="K17" i="41" s="1"/>
  <c r="I313" i="41"/>
  <c r="I312" i="41" s="1"/>
  <c r="I307" i="41" s="1"/>
  <c r="I396" i="41" s="1"/>
  <c r="I16" i="41"/>
  <c r="I17" i="41" s="1"/>
  <c r="F399" i="41"/>
  <c r="F397" i="41"/>
  <c r="J16" i="41"/>
  <c r="J17" i="41" s="1"/>
  <c r="J313" i="41"/>
  <c r="J312" i="41" s="1"/>
  <c r="J307" i="41" s="1"/>
  <c r="J396" i="41" s="1"/>
  <c r="F400" i="37"/>
  <c r="H16" i="41"/>
  <c r="H17" i="41" s="1"/>
  <c r="H313" i="41"/>
  <c r="H312" i="41" s="1"/>
  <c r="H307" i="41" s="1"/>
  <c r="H396" i="41" s="1"/>
  <c r="F71" i="34"/>
  <c r="N48" i="34"/>
  <c r="G21" i="35"/>
  <c r="G27" i="35"/>
  <c r="K19" i="37" l="1"/>
  <c r="M19" i="37"/>
  <c r="O19" i="37"/>
  <c r="L19" i="37"/>
  <c r="J19" i="37"/>
  <c r="H19" i="37"/>
  <c r="I19" i="37"/>
  <c r="P19" i="37"/>
  <c r="N19" i="37"/>
  <c r="G19" i="37"/>
  <c r="Q19" i="37"/>
  <c r="F390" i="37"/>
  <c r="G398" i="37"/>
  <c r="F398" i="37" s="1"/>
  <c r="F70" i="40"/>
  <c r="K72" i="40" s="1"/>
  <c r="G313" i="37"/>
  <c r="G312" i="37" s="1"/>
  <c r="H471" i="40"/>
  <c r="H466" i="40"/>
  <c r="F377" i="37"/>
  <c r="I466" i="40"/>
  <c r="I471" i="40"/>
  <c r="F465" i="40"/>
  <c r="G466" i="40"/>
  <c r="G471" i="40"/>
  <c r="F17" i="41"/>
  <c r="N19" i="41" s="1"/>
  <c r="L313" i="37"/>
  <c r="L312" i="37" s="1"/>
  <c r="L307" i="37" s="1"/>
  <c r="L396" i="37" s="1"/>
  <c r="L16" i="37"/>
  <c r="F16" i="37" s="1"/>
  <c r="F16" i="41"/>
  <c r="G312" i="41"/>
  <c r="F313" i="41"/>
  <c r="N71" i="34"/>
  <c r="F94" i="34"/>
  <c r="N94" i="34" s="1"/>
  <c r="J2" i="34" s="1"/>
  <c r="H18" i="8" s="1"/>
  <c r="G92" i="35"/>
  <c r="G53" i="35"/>
  <c r="N72" i="40" l="1"/>
  <c r="G72" i="40"/>
  <c r="F19" i="37"/>
  <c r="F20" i="37" s="1"/>
  <c r="K20" i="37" s="1"/>
  <c r="M20" i="37"/>
  <c r="P20" i="37"/>
  <c r="N20" i="37"/>
  <c r="O20" i="37"/>
  <c r="J20" i="37"/>
  <c r="H20" i="37"/>
  <c r="I20" i="37"/>
  <c r="L20" i="37"/>
  <c r="L15" i="37" s="1"/>
  <c r="L13" i="37" s="1"/>
  <c r="G20" i="37"/>
  <c r="H72" i="40"/>
  <c r="L72" i="40"/>
  <c r="L19" i="41"/>
  <c r="H19" i="41"/>
  <c r="G19" i="41"/>
  <c r="K19" i="41"/>
  <c r="M19" i="41"/>
  <c r="I19" i="41"/>
  <c r="M72" i="40"/>
  <c r="J72" i="40"/>
  <c r="I72" i="40"/>
  <c r="E469" i="40"/>
  <c r="J19" i="41"/>
  <c r="G307" i="41"/>
  <c r="F312" i="41"/>
  <c r="F313" i="37"/>
  <c r="F312" i="37"/>
  <c r="G307" i="37"/>
  <c r="G23" i="35"/>
  <c r="Q20" i="37" l="1"/>
  <c r="L63" i="37"/>
  <c r="L77" i="37"/>
  <c r="L80" i="37" s="1"/>
  <c r="L4" i="37" s="1"/>
  <c r="F72" i="40"/>
  <c r="F73" i="40" s="1"/>
  <c r="I73" i="40" s="1"/>
  <c r="F19" i="41"/>
  <c r="F20" i="41" s="1"/>
  <c r="K20" i="41" s="1"/>
  <c r="E470" i="40"/>
  <c r="F470" i="40" s="1"/>
  <c r="G396" i="37"/>
  <c r="F396" i="37" s="1"/>
  <c r="F307" i="37"/>
  <c r="G396" i="41"/>
  <c r="F396" i="41" s="1"/>
  <c r="F307" i="41"/>
  <c r="G20" i="41"/>
  <c r="G21" i="41" s="1"/>
  <c r="H20" i="41"/>
  <c r="G22" i="35"/>
  <c r="H16" i="35"/>
  <c r="G73" i="40" l="1"/>
  <c r="G74" i="40" s="1"/>
  <c r="L73" i="40"/>
  <c r="M20" i="41"/>
  <c r="M73" i="40"/>
  <c r="N73" i="40"/>
  <c r="J73" i="40"/>
  <c r="K73" i="40"/>
  <c r="H73" i="40"/>
  <c r="N20" i="41"/>
  <c r="I20" i="41"/>
  <c r="J20" i="41"/>
  <c r="L20" i="41"/>
  <c r="F74" i="40"/>
  <c r="G75" i="40"/>
  <c r="E471" i="40"/>
  <c r="G21" i="37"/>
  <c r="F21" i="41"/>
  <c r="G15" i="41"/>
  <c r="H504" i="41"/>
  <c r="H502" i="41"/>
  <c r="H500" i="41"/>
  <c r="H495" i="41"/>
  <c r="H493" i="41"/>
  <c r="M503" i="41"/>
  <c r="G501" i="41"/>
  <c r="J495" i="41"/>
  <c r="M492" i="41"/>
  <c r="K503" i="41"/>
  <c r="N500" i="41"/>
  <c r="I495" i="41"/>
  <c r="K492" i="41"/>
  <c r="M502" i="41"/>
  <c r="G500" i="41"/>
  <c r="J494" i="41"/>
  <c r="I503" i="41"/>
  <c r="K502" i="41"/>
  <c r="N501" i="41"/>
  <c r="I492" i="41"/>
  <c r="H501" i="41"/>
  <c r="H494" i="41"/>
  <c r="H492" i="41"/>
  <c r="M496" i="41"/>
  <c r="N504" i="41"/>
  <c r="K496" i="41"/>
  <c r="G504" i="41"/>
  <c r="M495" i="41"/>
  <c r="N496" i="41"/>
  <c r="N492" i="41"/>
  <c r="L504" i="41"/>
  <c r="L500" i="41"/>
  <c r="L493" i="41"/>
  <c r="M501" i="41"/>
  <c r="J493" i="41"/>
  <c r="K501" i="41"/>
  <c r="I493" i="41"/>
  <c r="M500" i="41"/>
  <c r="J492" i="41"/>
  <c r="K504" i="41"/>
  <c r="L503" i="41"/>
  <c r="L501" i="41"/>
  <c r="L496" i="41"/>
  <c r="L494" i="41"/>
  <c r="L492" i="41"/>
  <c r="G503" i="41"/>
  <c r="J500" i="41"/>
  <c r="M494" i="41"/>
  <c r="G492" i="41"/>
  <c r="N502" i="41"/>
  <c r="I500" i="41"/>
  <c r="K494" i="41"/>
  <c r="M504" i="41"/>
  <c r="G502" i="41"/>
  <c r="J496" i="41"/>
  <c r="M493" i="41"/>
  <c r="K500" i="41"/>
  <c r="I496" i="41"/>
  <c r="K495" i="41"/>
  <c r="I501" i="41"/>
  <c r="H503" i="41"/>
  <c r="H496" i="41"/>
  <c r="J502" i="41"/>
  <c r="G494" i="41"/>
  <c r="I502" i="41"/>
  <c r="N493" i="41"/>
  <c r="J501" i="41"/>
  <c r="G493" i="41"/>
  <c r="K493" i="41"/>
  <c r="N494" i="41"/>
  <c r="L502" i="41"/>
  <c r="L495" i="41"/>
  <c r="J504" i="41"/>
  <c r="G496" i="41"/>
  <c r="I504" i="41"/>
  <c r="N495" i="41"/>
  <c r="J503" i="41"/>
  <c r="J505" i="41" s="1"/>
  <c r="J415" i="41" s="1"/>
  <c r="G495" i="41"/>
  <c r="I494" i="41"/>
  <c r="N503" i="41"/>
  <c r="K504" i="37"/>
  <c r="L503" i="37"/>
  <c r="M503" i="37"/>
  <c r="M492" i="37"/>
  <c r="I494" i="37"/>
  <c r="H496" i="37"/>
  <c r="G496" i="37"/>
  <c r="G493" i="37"/>
  <c r="P501" i="37"/>
  <c r="G501" i="37"/>
  <c r="J495" i="37"/>
  <c r="K494" i="37"/>
  <c r="Q495" i="37"/>
  <c r="P500" i="37"/>
  <c r="O502" i="37"/>
  <c r="N503" i="37"/>
  <c r="Q501" i="37"/>
  <c r="N496" i="37"/>
  <c r="K501" i="37"/>
  <c r="J502" i="37"/>
  <c r="M495" i="37"/>
  <c r="I500" i="37"/>
  <c r="H502" i="37"/>
  <c r="N501" i="37"/>
  <c r="G500" i="37"/>
  <c r="K492" i="37"/>
  <c r="P503" i="37"/>
  <c r="N504" i="37"/>
  <c r="L496" i="37"/>
  <c r="M501" i="37"/>
  <c r="I492" i="37"/>
  <c r="N502" i="37"/>
  <c r="P494" i="37"/>
  <c r="K502" i="37"/>
  <c r="Q493" i="37"/>
  <c r="O500" i="37"/>
  <c r="Q492" i="37"/>
  <c r="L493" i="37"/>
  <c r="M493" i="37"/>
  <c r="H500" i="37"/>
  <c r="K500" i="37"/>
  <c r="P492" i="37"/>
  <c r="J504" i="37"/>
  <c r="M496" i="37"/>
  <c r="H503" i="37"/>
  <c r="G502" i="37"/>
  <c r="K495" i="37"/>
  <c r="Q502" i="37"/>
  <c r="P493" i="37"/>
  <c r="G494" i="37"/>
  <c r="L501" i="37"/>
  <c r="M502" i="37"/>
  <c r="I493" i="37"/>
  <c r="G492" i="37"/>
  <c r="O501" i="37"/>
  <c r="K496" i="37"/>
  <c r="L500" i="37"/>
  <c r="M494" i="37"/>
  <c r="I496" i="37"/>
  <c r="H501" i="37"/>
  <c r="N494" i="37"/>
  <c r="G504" i="37"/>
  <c r="Q494" i="37"/>
  <c r="O494" i="37"/>
  <c r="L502" i="37"/>
  <c r="K503" i="37"/>
  <c r="Q500" i="37"/>
  <c r="P502" i="37"/>
  <c r="O504" i="37"/>
  <c r="O493" i="37"/>
  <c r="N500" i="37"/>
  <c r="O496" i="37"/>
  <c r="J494" i="37"/>
  <c r="J492" i="37"/>
  <c r="M500" i="37"/>
  <c r="I502" i="37"/>
  <c r="H504" i="37"/>
  <c r="H493" i="37"/>
  <c r="N495" i="37"/>
  <c r="J500" i="37"/>
  <c r="Q496" i="37"/>
  <c r="O492" i="37"/>
  <c r="L494" i="37"/>
  <c r="I503" i="37"/>
  <c r="H494" i="37"/>
  <c r="J496" i="37"/>
  <c r="J503" i="37"/>
  <c r="Q504" i="37"/>
  <c r="P495" i="37"/>
  <c r="N492" i="37"/>
  <c r="N493" i="37"/>
  <c r="M504" i="37"/>
  <c r="I495" i="37"/>
  <c r="G503" i="37"/>
  <c r="L504" i="37"/>
  <c r="G495" i="37"/>
  <c r="J493" i="37"/>
  <c r="I501" i="37"/>
  <c r="H492" i="37"/>
  <c r="Q503" i="37"/>
  <c r="O503" i="37"/>
  <c r="K493" i="37"/>
  <c r="P504" i="37"/>
  <c r="O495" i="37"/>
  <c r="P496" i="37"/>
  <c r="J501" i="37"/>
  <c r="I504" i="37"/>
  <c r="H495" i="37"/>
  <c r="L492" i="37"/>
  <c r="L495" i="37"/>
  <c r="G16" i="35"/>
  <c r="H15" i="35"/>
  <c r="H505" i="41" l="1"/>
  <c r="H415" i="41" s="1"/>
  <c r="I497" i="41"/>
  <c r="I413" i="41" s="1"/>
  <c r="N497" i="41"/>
  <c r="K505" i="41"/>
  <c r="K415" i="41" s="1"/>
  <c r="M505" i="41"/>
  <c r="H497" i="41"/>
  <c r="H413" i="41" s="1"/>
  <c r="H414" i="41" s="1"/>
  <c r="H47" i="41" s="1"/>
  <c r="G505" i="41"/>
  <c r="G415" i="41" s="1"/>
  <c r="G418" i="41" s="1"/>
  <c r="G497" i="37"/>
  <c r="G413" i="37" s="1"/>
  <c r="G417" i="37" s="1"/>
  <c r="O497" i="37"/>
  <c r="N505" i="37"/>
  <c r="M497" i="37"/>
  <c r="M413" i="37" s="1"/>
  <c r="M417" i="37" s="1"/>
  <c r="L497" i="37"/>
  <c r="L413" i="37" s="1"/>
  <c r="L417" i="37" s="1"/>
  <c r="L49" i="37" s="1"/>
  <c r="L505" i="37"/>
  <c r="L415" i="37" s="1"/>
  <c r="L418" i="37" s="1"/>
  <c r="L50" i="37" s="1"/>
  <c r="I497" i="37"/>
  <c r="I413" i="37" s="1"/>
  <c r="I417" i="37" s="1"/>
  <c r="K505" i="37"/>
  <c r="L470" i="40"/>
  <c r="L468" i="40" s="1"/>
  <c r="L469" i="40" s="1"/>
  <c r="N470" i="40"/>
  <c r="N468" i="40" s="1"/>
  <c r="N469" i="40" s="1"/>
  <c r="M470" i="40"/>
  <c r="M468" i="40" s="1"/>
  <c r="M469" i="40" s="1"/>
  <c r="K470" i="40"/>
  <c r="K468" i="40" s="1"/>
  <c r="K469" i="40" s="1"/>
  <c r="J470" i="40"/>
  <c r="J468" i="40" s="1"/>
  <c r="J469" i="40" s="1"/>
  <c r="I470" i="40"/>
  <c r="I468" i="40" s="1"/>
  <c r="I469" i="40" s="1"/>
  <c r="I325" i="40" s="1"/>
  <c r="I324" i="40" s="1"/>
  <c r="I318" i="40" s="1"/>
  <c r="I329" i="40" s="1"/>
  <c r="H470" i="40"/>
  <c r="H468" i="40" s="1"/>
  <c r="H469" i="40" s="1"/>
  <c r="H325" i="40" s="1"/>
  <c r="H324" i="40" s="1"/>
  <c r="H318" i="40" s="1"/>
  <c r="H329" i="40" s="1"/>
  <c r="F471" i="40"/>
  <c r="G76" i="40"/>
  <c r="G79" i="40"/>
  <c r="F75" i="40"/>
  <c r="G497" i="41"/>
  <c r="G413" i="41" s="1"/>
  <c r="G414" i="41" s="1"/>
  <c r="L497" i="41"/>
  <c r="N505" i="41"/>
  <c r="I505" i="41"/>
  <c r="I415" i="41" s="1"/>
  <c r="I416" i="41" s="1"/>
  <c r="K497" i="41"/>
  <c r="K413" i="41" s="1"/>
  <c r="K417" i="41" s="1"/>
  <c r="K49" i="41" s="1"/>
  <c r="M497" i="41"/>
  <c r="G505" i="37"/>
  <c r="G415" i="37" s="1"/>
  <c r="G418" i="37" s="1"/>
  <c r="L505" i="41"/>
  <c r="M505" i="37"/>
  <c r="O505" i="37"/>
  <c r="J497" i="41"/>
  <c r="J413" i="41" s="1"/>
  <c r="J417" i="41" s="1"/>
  <c r="J49" i="41" s="1"/>
  <c r="K497" i="37"/>
  <c r="K413" i="37" s="1"/>
  <c r="K414" i="37" s="1"/>
  <c r="K47" i="37" s="1"/>
  <c r="I505" i="37"/>
  <c r="N497" i="37"/>
  <c r="N413" i="37" s="1"/>
  <c r="N414" i="37" s="1"/>
  <c r="N47" i="37" s="1"/>
  <c r="J497" i="37"/>
  <c r="J413" i="37" s="1"/>
  <c r="J417" i="37" s="1"/>
  <c r="J418" i="41"/>
  <c r="J50" i="41" s="1"/>
  <c r="J416" i="41"/>
  <c r="H418" i="41"/>
  <c r="H50" i="41" s="1"/>
  <c r="H416" i="41"/>
  <c r="K418" i="41"/>
  <c r="K50" i="41" s="1"/>
  <c r="K416" i="41"/>
  <c r="J414" i="41"/>
  <c r="J47" i="41" s="1"/>
  <c r="J505" i="37"/>
  <c r="P505" i="37"/>
  <c r="H505" i="37"/>
  <c r="P497" i="37"/>
  <c r="F15" i="41"/>
  <c r="G13" i="41"/>
  <c r="Q505" i="37"/>
  <c r="Q497" i="37"/>
  <c r="H497" i="37"/>
  <c r="H413" i="37" s="1"/>
  <c r="I417" i="41"/>
  <c r="I49" i="41" s="1"/>
  <c r="I414" i="41"/>
  <c r="I47" i="41" s="1"/>
  <c r="H30" i="1"/>
  <c r="I30" i="1" s="1"/>
  <c r="I32" i="1" s="1"/>
  <c r="I47" i="1" s="1"/>
  <c r="I19" i="1" s="1"/>
  <c r="F21" i="37"/>
  <c r="G15" i="37"/>
  <c r="H25" i="6"/>
  <c r="H48" i="6" s="1"/>
  <c r="J48" i="6" s="1"/>
  <c r="H254" i="35"/>
  <c r="G254" i="35" s="1"/>
  <c r="H270" i="35"/>
  <c r="G270" i="35" s="1"/>
  <c r="H259" i="35"/>
  <c r="G259" i="35" s="1"/>
  <c r="H261" i="35"/>
  <c r="G261" i="35" s="1"/>
  <c r="H268" i="35"/>
  <c r="G268" i="35" s="1"/>
  <c r="H255" i="35"/>
  <c r="G255" i="35" s="1"/>
  <c r="H258" i="35"/>
  <c r="G258" i="35" s="1"/>
  <c r="H253" i="35"/>
  <c r="G253" i="35" s="1"/>
  <c r="H263" i="35"/>
  <c r="G263" i="35" s="1"/>
  <c r="H256" i="35"/>
  <c r="G256" i="35" s="1"/>
  <c r="H257" i="35"/>
  <c r="G257" i="35" s="1"/>
  <c r="H264" i="35"/>
  <c r="G264" i="35" s="1"/>
  <c r="H262" i="35"/>
  <c r="G262" i="35" s="1"/>
  <c r="H265" i="35"/>
  <c r="G265" i="35" s="1"/>
  <c r="H267" i="35"/>
  <c r="G267" i="35" s="1"/>
  <c r="H260" i="35"/>
  <c r="G260" i="35" s="1"/>
  <c r="H269" i="35"/>
  <c r="G269" i="35" s="1"/>
  <c r="H266" i="35"/>
  <c r="G266" i="35" s="1"/>
  <c r="H271" i="35"/>
  <c r="G271" i="35" s="1"/>
  <c r="H277" i="35"/>
  <c r="G277" i="35" s="1"/>
  <c r="H273" i="35"/>
  <c r="G273" i="35" s="1"/>
  <c r="H274" i="35"/>
  <c r="G274" i="35" s="1"/>
  <c r="H276" i="35"/>
  <c r="G276" i="35" s="1"/>
  <c r="H272" i="35"/>
  <c r="G272" i="35" s="1"/>
  <c r="H275" i="35"/>
  <c r="G275" i="35" s="1"/>
  <c r="H252" i="35"/>
  <c r="G252" i="35" s="1"/>
  <c r="H227" i="35"/>
  <c r="G227" i="35" s="1"/>
  <c r="H243" i="35"/>
  <c r="G243" i="35" s="1"/>
  <c r="H236" i="35"/>
  <c r="G236" i="35" s="1"/>
  <c r="H229" i="35"/>
  <c r="G229" i="35" s="1"/>
  <c r="H245" i="35"/>
  <c r="G245" i="35" s="1"/>
  <c r="H232" i="35"/>
  <c r="G232" i="35" s="1"/>
  <c r="H231" i="35"/>
  <c r="G231" i="35" s="1"/>
  <c r="H234" i="35"/>
  <c r="G234" i="35" s="1"/>
  <c r="H240" i="35"/>
  <c r="G240" i="35" s="1"/>
  <c r="H233" i="35"/>
  <c r="G233" i="35" s="1"/>
  <c r="H230" i="35"/>
  <c r="G230" i="35" s="1"/>
  <c r="H241" i="35"/>
  <c r="G241" i="35" s="1"/>
  <c r="H235" i="35"/>
  <c r="G235" i="35" s="1"/>
  <c r="H228" i="35"/>
  <c r="G228" i="35" s="1"/>
  <c r="H244" i="35"/>
  <c r="G244" i="35" s="1"/>
  <c r="H237" i="35"/>
  <c r="G237" i="35" s="1"/>
  <c r="H238" i="35"/>
  <c r="G238" i="35" s="1"/>
  <c r="H239" i="35"/>
  <c r="G239" i="35" s="1"/>
  <c r="H242" i="35"/>
  <c r="G242" i="35" s="1"/>
  <c r="H251" i="35"/>
  <c r="G251" i="35" s="1"/>
  <c r="H247" i="35"/>
  <c r="G247" i="35" s="1"/>
  <c r="H248" i="35"/>
  <c r="G248" i="35" s="1"/>
  <c r="H250" i="35"/>
  <c r="G250" i="35" s="1"/>
  <c r="H246" i="35"/>
  <c r="G246" i="35" s="1"/>
  <c r="H249" i="35"/>
  <c r="G249" i="35" s="1"/>
  <c r="H226" i="35"/>
  <c r="G226" i="35" s="1"/>
  <c r="H203" i="35"/>
  <c r="G203" i="35" s="1"/>
  <c r="H219" i="35"/>
  <c r="G219" i="35" s="1"/>
  <c r="H208" i="35"/>
  <c r="G208" i="35" s="1"/>
  <c r="H201" i="35"/>
  <c r="G201" i="35" s="1"/>
  <c r="H217" i="35"/>
  <c r="G217" i="35" s="1"/>
  <c r="H204" i="35"/>
  <c r="G204" i="35" s="1"/>
  <c r="H207" i="35"/>
  <c r="G207" i="35" s="1"/>
  <c r="H206" i="35"/>
  <c r="G206" i="35" s="1"/>
  <c r="H212" i="35"/>
  <c r="G212" i="35" s="1"/>
  <c r="H205" i="35"/>
  <c r="G205" i="35" s="1"/>
  <c r="H202" i="35"/>
  <c r="G202" i="35" s="1"/>
  <c r="H210" i="35"/>
  <c r="G210" i="35" s="1"/>
  <c r="H211" i="35"/>
  <c r="G211" i="35" s="1"/>
  <c r="H218" i="35"/>
  <c r="G218" i="35" s="1"/>
  <c r="H216" i="35"/>
  <c r="G216" i="35" s="1"/>
  <c r="H209" i="35"/>
  <c r="G209" i="35" s="1"/>
  <c r="H214" i="35"/>
  <c r="G214" i="35" s="1"/>
  <c r="H215" i="35"/>
  <c r="G215" i="35" s="1"/>
  <c r="H213" i="35"/>
  <c r="G213" i="35" s="1"/>
  <c r="H221" i="35"/>
  <c r="G221" i="35" s="1"/>
  <c r="H222" i="35"/>
  <c r="G222" i="35" s="1"/>
  <c r="H224" i="35"/>
  <c r="G224" i="35" s="1"/>
  <c r="H220" i="35"/>
  <c r="G220" i="35" s="1"/>
  <c r="H223" i="35"/>
  <c r="G223" i="35" s="1"/>
  <c r="H200" i="35"/>
  <c r="G200" i="35" s="1"/>
  <c r="H177" i="35"/>
  <c r="G177" i="35" s="1"/>
  <c r="H193" i="35"/>
  <c r="G193" i="35" s="1"/>
  <c r="H182" i="35"/>
  <c r="G182" i="35" s="1"/>
  <c r="H175" i="35"/>
  <c r="G175" i="35" s="1"/>
  <c r="H191" i="35"/>
  <c r="G191" i="35" s="1"/>
  <c r="H178" i="35"/>
  <c r="G178" i="35" s="1"/>
  <c r="H181" i="35"/>
  <c r="G181" i="35" s="1"/>
  <c r="H176" i="35"/>
  <c r="G176" i="35" s="1"/>
  <c r="H186" i="35"/>
  <c r="G186" i="35" s="1"/>
  <c r="H179" i="35"/>
  <c r="G179" i="35" s="1"/>
  <c r="H180" i="35"/>
  <c r="G180" i="35" s="1"/>
  <c r="H187" i="35"/>
  <c r="G187" i="35" s="1"/>
  <c r="H185" i="35"/>
  <c r="G185" i="35" s="1"/>
  <c r="H184" i="35"/>
  <c r="G184" i="35" s="1"/>
  <c r="H190" i="35"/>
  <c r="G190" i="35" s="1"/>
  <c r="H183" i="35"/>
  <c r="G183" i="35" s="1"/>
  <c r="H188" i="35"/>
  <c r="G188" i="35" s="1"/>
  <c r="H189" i="35"/>
  <c r="G189" i="35" s="1"/>
  <c r="H192" i="35"/>
  <c r="G192" i="35" s="1"/>
  <c r="H198" i="35"/>
  <c r="G198" i="35" s="1"/>
  <c r="H194" i="35"/>
  <c r="G194" i="35" s="1"/>
  <c r="H197" i="35"/>
  <c r="G197" i="35" s="1"/>
  <c r="H195" i="35"/>
  <c r="G195" i="35" s="1"/>
  <c r="H196" i="35"/>
  <c r="G196" i="35" s="1"/>
  <c r="H174" i="35"/>
  <c r="G174" i="35" s="1"/>
  <c r="H150" i="35"/>
  <c r="G150" i="35" s="1"/>
  <c r="H166" i="35"/>
  <c r="G166" i="35" s="1"/>
  <c r="H159" i="35"/>
  <c r="G159" i="35" s="1"/>
  <c r="H165" i="35"/>
  <c r="G165" i="35" s="1"/>
  <c r="H164" i="35"/>
  <c r="G164" i="35" s="1"/>
  <c r="H162" i="35"/>
  <c r="G162" i="35" s="1"/>
  <c r="H160" i="35"/>
  <c r="G160" i="35" s="1"/>
  <c r="H154" i="35"/>
  <c r="G154" i="35" s="1"/>
  <c r="H157" i="35"/>
  <c r="G157" i="35" s="1"/>
  <c r="H163" i="35"/>
  <c r="G163" i="35" s="1"/>
  <c r="H152" i="35"/>
  <c r="G152" i="35" s="1"/>
  <c r="H149" i="35"/>
  <c r="G149" i="35" s="1"/>
  <c r="H161" i="35"/>
  <c r="G161" i="35" s="1"/>
  <c r="H153" i="35"/>
  <c r="G153" i="35" s="1"/>
  <c r="H158" i="35"/>
  <c r="G158" i="35" s="1"/>
  <c r="H151" i="35"/>
  <c r="G151" i="35" s="1"/>
  <c r="H167" i="35"/>
  <c r="G167" i="35" s="1"/>
  <c r="H156" i="35"/>
  <c r="G156" i="35" s="1"/>
  <c r="H155" i="35"/>
  <c r="G155" i="35" s="1"/>
  <c r="H169" i="35"/>
  <c r="G169" i="35" s="1"/>
  <c r="H170" i="35"/>
  <c r="G170" i="35" s="1"/>
  <c r="H172" i="35"/>
  <c r="G172" i="35" s="1"/>
  <c r="H168" i="35"/>
  <c r="G168" i="35" s="1"/>
  <c r="H171" i="35"/>
  <c r="G171" i="35" s="1"/>
  <c r="H148" i="35"/>
  <c r="G148" i="35" s="1"/>
  <c r="H325" i="35"/>
  <c r="G123" i="35"/>
  <c r="G139" i="35"/>
  <c r="G128" i="35"/>
  <c r="G130" i="35"/>
  <c r="G137" i="35"/>
  <c r="G141" i="35"/>
  <c r="G133" i="35"/>
  <c r="G127" i="35"/>
  <c r="G126" i="35"/>
  <c r="G132" i="35"/>
  <c r="G125" i="35"/>
  <c r="G124" i="35"/>
  <c r="G131" i="35"/>
  <c r="G134" i="35"/>
  <c r="G136" i="35"/>
  <c r="G129" i="35"/>
  <c r="G138" i="35"/>
  <c r="G135" i="35"/>
  <c r="G140" i="35"/>
  <c r="G143" i="35"/>
  <c r="G144" i="35"/>
  <c r="G146" i="35"/>
  <c r="G142" i="35"/>
  <c r="G145" i="35"/>
  <c r="G122" i="35"/>
  <c r="H323" i="35"/>
  <c r="G323" i="35" s="1"/>
  <c r="H322" i="35"/>
  <c r="H319" i="35"/>
  <c r="G319" i="35" s="1"/>
  <c r="H318" i="35"/>
  <c r="G318" i="35" s="1"/>
  <c r="H317" i="35"/>
  <c r="G317" i="35" s="1"/>
  <c r="H316" i="35"/>
  <c r="G316" i="35" s="1"/>
  <c r="H315" i="35"/>
  <c r="G298" i="35"/>
  <c r="G295" i="35"/>
  <c r="G299" i="35"/>
  <c r="G301" i="35"/>
  <c r="G310" i="35"/>
  <c r="G309" i="35"/>
  <c r="G311" i="35"/>
  <c r="G304" i="35"/>
  <c r="G302" i="35"/>
  <c r="G303" i="35"/>
  <c r="G308" i="35"/>
  <c r="G305" i="35"/>
  <c r="G307" i="35"/>
  <c r="G300" i="35"/>
  <c r="G306" i="35"/>
  <c r="G313" i="35"/>
  <c r="H96" i="35"/>
  <c r="H97" i="35"/>
  <c r="G97" i="35" s="1"/>
  <c r="H113" i="35"/>
  <c r="G113" i="35" s="1"/>
  <c r="H102" i="35"/>
  <c r="G102" i="35" s="1"/>
  <c r="H104" i="35"/>
  <c r="G104" i="35" s="1"/>
  <c r="H111" i="35"/>
  <c r="G111" i="35" s="1"/>
  <c r="H98" i="35"/>
  <c r="G98" i="35" s="1"/>
  <c r="H101" i="35"/>
  <c r="G101" i="35" s="1"/>
  <c r="H108" i="35"/>
  <c r="G108" i="35" s="1"/>
  <c r="H106" i="35"/>
  <c r="G106" i="35" s="1"/>
  <c r="H99" i="35"/>
  <c r="G99" i="35" s="1"/>
  <c r="H115" i="35"/>
  <c r="G115" i="35" s="1"/>
  <c r="H107" i="35"/>
  <c r="G107" i="35" s="1"/>
  <c r="H105" i="35"/>
  <c r="G105" i="35" s="1"/>
  <c r="H112" i="35"/>
  <c r="G112" i="35" s="1"/>
  <c r="H110" i="35"/>
  <c r="G110" i="35" s="1"/>
  <c r="H103" i="35"/>
  <c r="G103" i="35" s="1"/>
  <c r="H100" i="35"/>
  <c r="G100" i="35" s="1"/>
  <c r="H109" i="35"/>
  <c r="G109" i="35" s="1"/>
  <c r="H114" i="35"/>
  <c r="G114" i="35" s="1"/>
  <c r="H119" i="35"/>
  <c r="G119" i="35" s="1"/>
  <c r="H116" i="35"/>
  <c r="G116" i="35" s="1"/>
  <c r="H117" i="35"/>
  <c r="G117" i="35" s="1"/>
  <c r="H118" i="35"/>
  <c r="G118" i="35" s="1"/>
  <c r="H120" i="35"/>
  <c r="G120" i="35" s="1"/>
  <c r="H19" i="35"/>
  <c r="G19" i="35" s="1"/>
  <c r="G15" i="35"/>
  <c r="L416" i="37" l="1"/>
  <c r="G414" i="37"/>
  <c r="K417" i="37"/>
  <c r="I414" i="37"/>
  <c r="I47" i="37" s="1"/>
  <c r="H417" i="41"/>
  <c r="H49" i="41" s="1"/>
  <c r="I418" i="41"/>
  <c r="I50" i="41" s="1"/>
  <c r="G416" i="41"/>
  <c r="F416" i="41" s="1"/>
  <c r="F48" i="41" s="1"/>
  <c r="K414" i="41"/>
  <c r="K47" i="41" s="1"/>
  <c r="G417" i="41"/>
  <c r="G49" i="41" s="1"/>
  <c r="M414" i="37"/>
  <c r="M47" i="37" s="1"/>
  <c r="J414" i="37"/>
  <c r="J47" i="37" s="1"/>
  <c r="L414" i="37"/>
  <c r="L47" i="37" s="1"/>
  <c r="G470" i="40"/>
  <c r="G468" i="40" s="1"/>
  <c r="G469" i="40" s="1"/>
  <c r="G325" i="40" s="1"/>
  <c r="F76" i="40"/>
  <c r="G78" i="40"/>
  <c r="F78" i="40" s="1"/>
  <c r="G416" i="37"/>
  <c r="G48" i="37" s="1"/>
  <c r="G6" i="40"/>
  <c r="F6" i="40" s="1"/>
  <c r="F79" i="40"/>
  <c r="G81" i="40"/>
  <c r="N417" i="37"/>
  <c r="N49" i="37" s="1"/>
  <c r="N61" i="37" s="1"/>
  <c r="N62" i="37" s="1"/>
  <c r="L48" i="37"/>
  <c r="H48" i="41"/>
  <c r="H431" i="41"/>
  <c r="H432" i="41" s="1"/>
  <c r="H417" i="37"/>
  <c r="H414" i="37"/>
  <c r="H47" i="37" s="1"/>
  <c r="G50" i="41"/>
  <c r="F418" i="41"/>
  <c r="F50" i="41" s="1"/>
  <c r="I321" i="37"/>
  <c r="I320" i="37" s="1"/>
  <c r="I319" i="37" s="1"/>
  <c r="I49" i="37"/>
  <c r="M49" i="37"/>
  <c r="G47" i="41"/>
  <c r="F15" i="37"/>
  <c r="G13" i="37"/>
  <c r="G77" i="41"/>
  <c r="F13" i="41"/>
  <c r="G63" i="41"/>
  <c r="F63" i="41" s="1"/>
  <c r="G47" i="37"/>
  <c r="K48" i="41"/>
  <c r="K61" i="41" s="1"/>
  <c r="K62" i="41" s="1"/>
  <c r="K321" i="41"/>
  <c r="K320" i="41" s="1"/>
  <c r="K319" i="41" s="1"/>
  <c r="K431" i="41"/>
  <c r="K432" i="41" s="1"/>
  <c r="I48" i="41"/>
  <c r="J48" i="41"/>
  <c r="J61" i="41" s="1"/>
  <c r="J62" i="41" s="1"/>
  <c r="J321" i="41"/>
  <c r="J320" i="41" s="1"/>
  <c r="J319" i="41" s="1"/>
  <c r="J431" i="41"/>
  <c r="J432" i="41" s="1"/>
  <c r="J49" i="37"/>
  <c r="G49" i="37"/>
  <c r="K321" i="37"/>
  <c r="K320" i="37" s="1"/>
  <c r="K319" i="37" s="1"/>
  <c r="K431" i="37"/>
  <c r="K432" i="37" s="1"/>
  <c r="K49" i="37"/>
  <c r="K61" i="37" s="1"/>
  <c r="K62" i="37" s="1"/>
  <c r="F418" i="37"/>
  <c r="F50" i="37" s="1"/>
  <c r="G50" i="37"/>
  <c r="I8" i="33"/>
  <c r="H278" i="35"/>
  <c r="H27" i="8"/>
  <c r="H2" i="33"/>
  <c r="H2" i="1"/>
  <c r="H25" i="1" s="1"/>
  <c r="H48" i="1" s="1"/>
  <c r="H71" i="1" s="1"/>
  <c r="H94" i="1" s="1"/>
  <c r="H2" i="9"/>
  <c r="H25" i="9" s="1"/>
  <c r="H71" i="6"/>
  <c r="J71" i="6" s="1"/>
  <c r="H2" i="34"/>
  <c r="H25" i="34" s="1"/>
  <c r="H48" i="34" s="1"/>
  <c r="H71" i="34" s="1"/>
  <c r="H94" i="34" s="1"/>
  <c r="G281" i="35"/>
  <c r="H314" i="35"/>
  <c r="G314" i="35" s="1"/>
  <c r="H321" i="35"/>
  <c r="G321" i="35" s="1"/>
  <c r="G315" i="35"/>
  <c r="G96" i="35"/>
  <c r="H327" i="35"/>
  <c r="G327" i="35" s="1"/>
  <c r="G325" i="35"/>
  <c r="H324" i="35"/>
  <c r="G324" i="35" s="1"/>
  <c r="G322" i="35"/>
  <c r="F416" i="37" l="1"/>
  <c r="F48" i="37" s="1"/>
  <c r="G431" i="41"/>
  <c r="G321" i="41"/>
  <c r="G48" i="41"/>
  <c r="G61" i="41" s="1"/>
  <c r="I431" i="37"/>
  <c r="I432" i="37" s="1"/>
  <c r="I61" i="37"/>
  <c r="I62" i="37" s="1"/>
  <c r="F468" i="40"/>
  <c r="I321" i="41"/>
  <c r="I320" i="41" s="1"/>
  <c r="I319" i="41" s="1"/>
  <c r="H321" i="41"/>
  <c r="H320" i="41" s="1"/>
  <c r="H319" i="41" s="1"/>
  <c r="I431" i="41"/>
  <c r="I432" i="41" s="1"/>
  <c r="I464" i="41" s="1"/>
  <c r="I467" i="41" s="1"/>
  <c r="F414" i="41"/>
  <c r="F47" i="41" s="1"/>
  <c r="H61" i="41"/>
  <c r="H62" i="41" s="1"/>
  <c r="I61" i="41"/>
  <c r="I62" i="41" s="1"/>
  <c r="J61" i="37"/>
  <c r="J62" i="37" s="1"/>
  <c r="J321" i="37"/>
  <c r="J320" i="37" s="1"/>
  <c r="J319" i="37" s="1"/>
  <c r="J431" i="37"/>
  <c r="J432" i="37" s="1"/>
  <c r="J437" i="37" s="1"/>
  <c r="J442" i="37" s="1"/>
  <c r="F417" i="41"/>
  <c r="F49" i="41" s="1"/>
  <c r="G321" i="37"/>
  <c r="M321" i="37"/>
  <c r="M320" i="37" s="1"/>
  <c r="M319" i="37" s="1"/>
  <c r="M431" i="37"/>
  <c r="M432" i="37" s="1"/>
  <c r="M464" i="37" s="1"/>
  <c r="M467" i="37" s="1"/>
  <c r="M61" i="37"/>
  <c r="M62" i="37" s="1"/>
  <c r="L431" i="37"/>
  <c r="L432" i="37" s="1"/>
  <c r="L464" i="37" s="1"/>
  <c r="L467" i="37" s="1"/>
  <c r="F414" i="37"/>
  <c r="F47" i="37" s="1"/>
  <c r="F417" i="37"/>
  <c r="F49" i="37" s="1"/>
  <c r="L61" i="37"/>
  <c r="N431" i="37"/>
  <c r="N432" i="37" s="1"/>
  <c r="N437" i="37" s="1"/>
  <c r="N442" i="37" s="1"/>
  <c r="L321" i="37"/>
  <c r="L320" i="37" s="1"/>
  <c r="L319" i="37" s="1"/>
  <c r="N321" i="37"/>
  <c r="N320" i="37" s="1"/>
  <c r="N319" i="37" s="1"/>
  <c r="G5" i="40"/>
  <c r="F5" i="40" s="1"/>
  <c r="F81" i="40"/>
  <c r="F325" i="40"/>
  <c r="G324" i="40"/>
  <c r="H464" i="41"/>
  <c r="H467" i="41" s="1"/>
  <c r="H437" i="41"/>
  <c r="H442" i="41" s="1"/>
  <c r="G432" i="41"/>
  <c r="K464" i="41"/>
  <c r="K467" i="41" s="1"/>
  <c r="K437" i="41"/>
  <c r="K442" i="41" s="1"/>
  <c r="G77" i="37"/>
  <c r="G63" i="37"/>
  <c r="F63" i="37" s="1"/>
  <c r="F13" i="37"/>
  <c r="M437" i="37"/>
  <c r="M442" i="37" s="1"/>
  <c r="H431" i="37"/>
  <c r="H432" i="37" s="1"/>
  <c r="H321" i="37"/>
  <c r="H320" i="37" s="1"/>
  <c r="H319" i="37" s="1"/>
  <c r="H49" i="37"/>
  <c r="H61" i="37" s="1"/>
  <c r="H62" i="37" s="1"/>
  <c r="F77" i="41"/>
  <c r="G80" i="41"/>
  <c r="K437" i="37"/>
  <c r="K442" i="37" s="1"/>
  <c r="K464" i="37"/>
  <c r="K467" i="37" s="1"/>
  <c r="J437" i="41"/>
  <c r="J442" i="41" s="1"/>
  <c r="J464" i="41"/>
  <c r="J467" i="41" s="1"/>
  <c r="I437" i="37"/>
  <c r="I442" i="37" s="1"/>
  <c r="I464" i="37"/>
  <c r="I467" i="37" s="1"/>
  <c r="G320" i="41"/>
  <c r="F321" i="41"/>
  <c r="H25" i="33"/>
  <c r="H48" i="9"/>
  <c r="H71" i="9"/>
  <c r="H328" i="35"/>
  <c r="G278" i="35"/>
  <c r="I437" i="41" l="1"/>
  <c r="I442" i="41" s="1"/>
  <c r="F431" i="41"/>
  <c r="J464" i="37"/>
  <c r="J467" i="37" s="1"/>
  <c r="F61" i="41"/>
  <c r="G62" i="41"/>
  <c r="F62" i="41" s="1"/>
  <c r="H64" i="41" s="1"/>
  <c r="L437" i="37"/>
  <c r="L442" i="37" s="1"/>
  <c r="L443" i="37" s="1"/>
  <c r="N464" i="37"/>
  <c r="N467" i="37" s="1"/>
  <c r="F324" i="40"/>
  <c r="G318" i="40"/>
  <c r="G4" i="41"/>
  <c r="F4" i="41" s="1"/>
  <c r="F80" i="41"/>
  <c r="J443" i="41"/>
  <c r="J444" i="41"/>
  <c r="J443" i="37"/>
  <c r="J444" i="37"/>
  <c r="K443" i="41"/>
  <c r="K444" i="41"/>
  <c r="H443" i="41"/>
  <c r="H444" i="41"/>
  <c r="G319" i="41"/>
  <c r="F320" i="41"/>
  <c r="H464" i="37"/>
  <c r="H467" i="37" s="1"/>
  <c r="H437" i="37"/>
  <c r="H442" i="37" s="1"/>
  <c r="N443" i="37"/>
  <c r="N444" i="37"/>
  <c r="I444" i="37"/>
  <c r="I443" i="37"/>
  <c r="L64" i="41"/>
  <c r="J64" i="41"/>
  <c r="G64" i="41"/>
  <c r="K64" i="41"/>
  <c r="I444" i="41"/>
  <c r="I443" i="41"/>
  <c r="K444" i="37"/>
  <c r="K443" i="37"/>
  <c r="F321" i="37"/>
  <c r="M443" i="37"/>
  <c r="M444" i="37"/>
  <c r="G80" i="37"/>
  <c r="F77" i="37"/>
  <c r="G437" i="41"/>
  <c r="G464" i="41"/>
  <c r="F432" i="41"/>
  <c r="H24" i="35"/>
  <c r="H329" i="35"/>
  <c r="G328" i="35"/>
  <c r="G329" i="35" s="1"/>
  <c r="M64" i="41" l="1"/>
  <c r="N64" i="41"/>
  <c r="F64" i="41" s="1"/>
  <c r="F65" i="41" s="1"/>
  <c r="M65" i="41" s="1"/>
  <c r="I64" i="41"/>
  <c r="L444" i="37"/>
  <c r="F318" i="40"/>
  <c r="G329" i="40"/>
  <c r="F329" i="40" s="1"/>
  <c r="F319" i="41"/>
  <c r="G4" i="37"/>
  <c r="F4" i="37" s="1"/>
  <c r="F80" i="37"/>
  <c r="H443" i="37"/>
  <c r="H444" i="37"/>
  <c r="G467" i="41"/>
  <c r="F467" i="41" s="1"/>
  <c r="F464" i="41"/>
  <c r="G442" i="41"/>
  <c r="F437" i="41"/>
  <c r="F439" i="41" s="1"/>
  <c r="G24" i="35"/>
  <c r="I65" i="41" l="1"/>
  <c r="K65" i="41"/>
  <c r="N65" i="41"/>
  <c r="J65" i="41"/>
  <c r="H65" i="41"/>
  <c r="G65" i="41"/>
  <c r="G66" i="41" s="1"/>
  <c r="G67" i="41" s="1"/>
  <c r="L65" i="41"/>
  <c r="G443" i="41"/>
  <c r="F443" i="41" s="1"/>
  <c r="F442" i="41"/>
  <c r="G444" i="41"/>
  <c r="F444" i="41" s="1"/>
  <c r="F454" i="41" s="1"/>
  <c r="G59" i="37"/>
  <c r="G510" i="41"/>
  <c r="G508" i="41"/>
  <c r="G511" i="41" s="1"/>
  <c r="E442" i="41" s="1"/>
  <c r="G509" i="41"/>
  <c r="F66" i="41" l="1"/>
  <c r="I454" i="41"/>
  <c r="H454" i="41"/>
  <c r="K454" i="41"/>
  <c r="J454" i="41"/>
  <c r="G71" i="41"/>
  <c r="F71" i="41" s="1"/>
  <c r="F67" i="41"/>
  <c r="E452" i="41"/>
  <c r="F452" i="41" s="1"/>
  <c r="E443" i="41"/>
  <c r="E453" i="41" s="1"/>
  <c r="F453" i="41" s="1"/>
  <c r="G428" i="37"/>
  <c r="F59" i="37"/>
  <c r="G62" i="37"/>
  <c r="F62" i="37" s="1"/>
  <c r="G61" i="37"/>
  <c r="F61" i="37" s="1"/>
  <c r="G454" i="41" l="1"/>
  <c r="G323" i="37"/>
  <c r="F323" i="37" s="1"/>
  <c r="F428" i="37"/>
  <c r="G322" i="37"/>
  <c r="G431" i="37"/>
  <c r="I453" i="41"/>
  <c r="I326" i="41" s="1"/>
  <c r="H453" i="41"/>
  <c r="H326" i="41" s="1"/>
  <c r="K453" i="41"/>
  <c r="K326" i="41" s="1"/>
  <c r="J453" i="41"/>
  <c r="J326" i="41" s="1"/>
  <c r="O64" i="37"/>
  <c r="J64" i="37"/>
  <c r="P64" i="37"/>
  <c r="M64" i="37"/>
  <c r="I64" i="37"/>
  <c r="H64" i="37"/>
  <c r="Q64" i="37"/>
  <c r="K64" i="37"/>
  <c r="G64" i="37"/>
  <c r="L64" i="37"/>
  <c r="N64" i="37"/>
  <c r="J452" i="41"/>
  <c r="H452" i="41"/>
  <c r="K452" i="41"/>
  <c r="I452" i="41"/>
  <c r="I463" i="41" s="1"/>
  <c r="J463" i="41" l="1"/>
  <c r="K463" i="41"/>
  <c r="K465" i="41" s="1"/>
  <c r="H463" i="41"/>
  <c r="H465" i="41" s="1"/>
  <c r="F64" i="37"/>
  <c r="F65" i="37" s="1"/>
  <c r="O65" i="37" s="1"/>
  <c r="F431" i="37"/>
  <c r="G432" i="37"/>
  <c r="F322" i="37"/>
  <c r="G320" i="37"/>
  <c r="J465" i="41"/>
  <c r="J69" i="41"/>
  <c r="J70" i="41" s="1"/>
  <c r="I465" i="41"/>
  <c r="I69" i="41"/>
  <c r="I70" i="41" s="1"/>
  <c r="G452" i="41"/>
  <c r="G453" i="41"/>
  <c r="G326" i="41" s="1"/>
  <c r="F326" i="41" s="1"/>
  <c r="L65" i="37" l="1"/>
  <c r="L66" i="37" s="1"/>
  <c r="I20" i="34" s="1"/>
  <c r="K69" i="41"/>
  <c r="K70" i="41" s="1"/>
  <c r="H65" i="37"/>
  <c r="I65" i="37"/>
  <c r="K65" i="37"/>
  <c r="Q65" i="37"/>
  <c r="G65" i="37"/>
  <c r="G66" i="37" s="1"/>
  <c r="I20" i="1" s="1"/>
  <c r="M65" i="37"/>
  <c r="N65" i="37"/>
  <c r="J65" i="37"/>
  <c r="P65" i="37"/>
  <c r="H69" i="41"/>
  <c r="H70" i="41" s="1"/>
  <c r="J466" i="41"/>
  <c r="J471" i="41"/>
  <c r="H466" i="41"/>
  <c r="H471" i="41"/>
  <c r="K471" i="41"/>
  <c r="K466" i="41"/>
  <c r="G463" i="41"/>
  <c r="F320" i="37"/>
  <c r="G319" i="37"/>
  <c r="F432" i="37"/>
  <c r="G437" i="37"/>
  <c r="G464" i="37"/>
  <c r="I466" i="41"/>
  <c r="I471" i="41"/>
  <c r="L67" i="37" l="1"/>
  <c r="L70" i="37" s="1"/>
  <c r="G67" i="37"/>
  <c r="F66" i="37"/>
  <c r="G465" i="41"/>
  <c r="F463" i="41"/>
  <c r="F69" i="41" s="1"/>
  <c r="G69" i="41"/>
  <c r="G70" i="41" s="1"/>
  <c r="F70" i="41" s="1"/>
  <c r="L72" i="41" s="1"/>
  <c r="J72" i="41"/>
  <c r="M72" i="41"/>
  <c r="F319" i="37"/>
  <c r="G467" i="37"/>
  <c r="F467" i="37" s="1"/>
  <c r="F464" i="37"/>
  <c r="F437" i="37"/>
  <c r="F439" i="37" s="1"/>
  <c r="G442" i="37"/>
  <c r="K72" i="41" l="1"/>
  <c r="H72" i="41"/>
  <c r="G72" i="41"/>
  <c r="F72" i="41" s="1"/>
  <c r="F73" i="41" s="1"/>
  <c r="I72" i="41"/>
  <c r="N72" i="41"/>
  <c r="L71" i="37"/>
  <c r="F67" i="37"/>
  <c r="G71" i="37"/>
  <c r="G443" i="37"/>
  <c r="F443" i="37" s="1"/>
  <c r="G444" i="37"/>
  <c r="F444" i="37" s="1"/>
  <c r="F454" i="37" s="1"/>
  <c r="F442" i="37"/>
  <c r="G509" i="37"/>
  <c r="G510" i="37"/>
  <c r="G508" i="37"/>
  <c r="G511" i="37" s="1"/>
  <c r="E442" i="37" s="1"/>
  <c r="G466" i="41"/>
  <c r="F465" i="41"/>
  <c r="G471" i="41"/>
  <c r="F71" i="37" l="1"/>
  <c r="E452" i="37"/>
  <c r="F452" i="37" s="1"/>
  <c r="E443" i="37"/>
  <c r="E453" i="37" s="1"/>
  <c r="F453" i="37" s="1"/>
  <c r="E469" i="41"/>
  <c r="M73" i="41"/>
  <c r="H73" i="41"/>
  <c r="J73" i="41"/>
  <c r="G73" i="41"/>
  <c r="G74" i="41" s="1"/>
  <c r="I73" i="41"/>
  <c r="L73" i="41"/>
  <c r="K73" i="41"/>
  <c r="N73" i="41"/>
  <c r="J454" i="37"/>
  <c r="M454" i="37"/>
  <c r="K454" i="37"/>
  <c r="N454" i="37"/>
  <c r="I454" i="37"/>
  <c r="L454" i="37"/>
  <c r="H454" i="37"/>
  <c r="G454" i="37" l="1"/>
  <c r="F74" i="41"/>
  <c r="G75" i="41"/>
  <c r="J452" i="37"/>
  <c r="I452" i="37"/>
  <c r="N452" i="37"/>
  <c r="M452" i="37"/>
  <c r="K452" i="37"/>
  <c r="L452" i="37"/>
  <c r="H452" i="37"/>
  <c r="E470" i="41"/>
  <c r="F470" i="41" s="1"/>
  <c r="M453" i="37"/>
  <c r="M326" i="37" s="1"/>
  <c r="I453" i="37"/>
  <c r="I326" i="37" s="1"/>
  <c r="L453" i="37"/>
  <c r="L326" i="37" s="1"/>
  <c r="J453" i="37"/>
  <c r="J326" i="37" s="1"/>
  <c r="N453" i="37"/>
  <c r="N326" i="37" s="1"/>
  <c r="K453" i="37"/>
  <c r="K326" i="37" s="1"/>
  <c r="H453" i="37"/>
  <c r="H326" i="37" s="1"/>
  <c r="L463" i="37" l="1"/>
  <c r="L69" i="37" s="1"/>
  <c r="M463" i="37"/>
  <c r="M69" i="37" s="1"/>
  <c r="M70" i="37" s="1"/>
  <c r="G453" i="37"/>
  <c r="G326" i="37" s="1"/>
  <c r="F326" i="37" s="1"/>
  <c r="I463" i="37"/>
  <c r="E471" i="41"/>
  <c r="K463" i="37"/>
  <c r="J463" i="37"/>
  <c r="G452" i="37"/>
  <c r="H463" i="37"/>
  <c r="N463" i="37"/>
  <c r="G76" i="41"/>
  <c r="G79" i="41"/>
  <c r="F75" i="41"/>
  <c r="M465" i="37" l="1"/>
  <c r="M466" i="37" s="1"/>
  <c r="L465" i="37"/>
  <c r="L471" i="37" s="1"/>
  <c r="G463" i="37"/>
  <c r="G465" i="37" s="1"/>
  <c r="G78" i="41"/>
  <c r="F78" i="41" s="1"/>
  <c r="F76" i="41"/>
  <c r="L470" i="41"/>
  <c r="L468" i="41" s="1"/>
  <c r="L469" i="41" s="1"/>
  <c r="N470" i="41"/>
  <c r="N468" i="41" s="1"/>
  <c r="N469" i="41" s="1"/>
  <c r="M470" i="41"/>
  <c r="M468" i="41" s="1"/>
  <c r="M469" i="41" s="1"/>
  <c r="J470" i="41"/>
  <c r="J468" i="41" s="1"/>
  <c r="J469" i="41" s="1"/>
  <c r="J325" i="41" s="1"/>
  <c r="J324" i="41" s="1"/>
  <c r="J318" i="41" s="1"/>
  <c r="J329" i="41" s="1"/>
  <c r="K470" i="41"/>
  <c r="K468" i="41" s="1"/>
  <c r="K469" i="41" s="1"/>
  <c r="K325" i="41" s="1"/>
  <c r="K324" i="41" s="1"/>
  <c r="K318" i="41" s="1"/>
  <c r="K329" i="41" s="1"/>
  <c r="H470" i="41"/>
  <c r="H468" i="41" s="1"/>
  <c r="H469" i="41" s="1"/>
  <c r="H325" i="41" s="1"/>
  <c r="H324" i="41" s="1"/>
  <c r="H318" i="41" s="1"/>
  <c r="H329" i="41" s="1"/>
  <c r="I470" i="41"/>
  <c r="I468" i="41" s="1"/>
  <c r="I469" i="41" s="1"/>
  <c r="I325" i="41" s="1"/>
  <c r="I324" i="41" s="1"/>
  <c r="I318" i="41" s="1"/>
  <c r="I329" i="41" s="1"/>
  <c r="F471" i="41"/>
  <c r="N69" i="37"/>
  <c r="N70" i="37" s="1"/>
  <c r="N465" i="37"/>
  <c r="I465" i="37"/>
  <c r="I69" i="37"/>
  <c r="I70" i="37" s="1"/>
  <c r="H465" i="37"/>
  <c r="H69" i="37"/>
  <c r="H70" i="37" s="1"/>
  <c r="J69" i="37"/>
  <c r="J70" i="37" s="1"/>
  <c r="J465" i="37"/>
  <c r="L466" i="37"/>
  <c r="F79" i="41"/>
  <c r="G6" i="41"/>
  <c r="F6" i="41" s="1"/>
  <c r="G81" i="41"/>
  <c r="K69" i="37"/>
  <c r="K70" i="37" s="1"/>
  <c r="K465" i="37"/>
  <c r="F463" i="37" l="1"/>
  <c r="F69" i="37" s="1"/>
  <c r="M471" i="37"/>
  <c r="G69" i="37"/>
  <c r="G70" i="37" s="1"/>
  <c r="J471" i="37"/>
  <c r="J466" i="37"/>
  <c r="N466" i="37"/>
  <c r="N471" i="37"/>
  <c r="I466" i="37"/>
  <c r="I471" i="37"/>
  <c r="K471" i="37"/>
  <c r="K466" i="37"/>
  <c r="F465" i="37"/>
  <c r="G471" i="37"/>
  <c r="G466" i="37"/>
  <c r="F70" i="37"/>
  <c r="G470" i="41"/>
  <c r="G468" i="41" s="1"/>
  <c r="F81" i="41"/>
  <c r="G5" i="41"/>
  <c r="F5" i="41" s="1"/>
  <c r="H466" i="37"/>
  <c r="H471" i="37"/>
  <c r="F468" i="41" l="1"/>
  <c r="G469" i="41"/>
  <c r="G325" i="41" s="1"/>
  <c r="O72" i="37"/>
  <c r="Q72" i="37"/>
  <c r="P72" i="37"/>
  <c r="L72" i="37"/>
  <c r="H72" i="37"/>
  <c r="M72" i="37"/>
  <c r="K72" i="37"/>
  <c r="N72" i="37"/>
  <c r="J72" i="37"/>
  <c r="I72" i="37"/>
  <c r="G72" i="37"/>
  <c r="E469" i="37"/>
  <c r="F72" i="37" l="1"/>
  <c r="F73" i="37" s="1"/>
  <c r="E470" i="37"/>
  <c r="F470" i="37" s="1"/>
  <c r="F325" i="41"/>
  <c r="G324" i="41"/>
  <c r="N73" i="37" l="1"/>
  <c r="J73" i="37"/>
  <c r="K73" i="37"/>
  <c r="O73" i="37"/>
  <c r="H73" i="37"/>
  <c r="M73" i="37"/>
  <c r="G73" i="37"/>
  <c r="G74" i="37" s="1"/>
  <c r="I73" i="37"/>
  <c r="Q73" i="37"/>
  <c r="P73" i="37"/>
  <c r="E471" i="37"/>
  <c r="F324" i="41"/>
  <c r="G318" i="41"/>
  <c r="L73" i="37" l="1"/>
  <c r="L74" i="37" s="1"/>
  <c r="P470" i="37"/>
  <c r="P468" i="37" s="1"/>
  <c r="P469" i="37" s="1"/>
  <c r="P325" i="37" s="1"/>
  <c r="P324" i="37" s="1"/>
  <c r="P318" i="37" s="1"/>
  <c r="P329" i="37" s="1"/>
  <c r="O470" i="37"/>
  <c r="O468" i="37" s="1"/>
  <c r="O469" i="37" s="1"/>
  <c r="O325" i="37" s="1"/>
  <c r="O324" i="37" s="1"/>
  <c r="O318" i="37" s="1"/>
  <c r="O329" i="37" s="1"/>
  <c r="Q470" i="37"/>
  <c r="Q468" i="37" s="1"/>
  <c r="Q469" i="37" s="1"/>
  <c r="Q325" i="37" s="1"/>
  <c r="Q324" i="37" s="1"/>
  <c r="Q318" i="37" s="1"/>
  <c r="Q329" i="37" s="1"/>
  <c r="L470" i="37"/>
  <c r="L468" i="37" s="1"/>
  <c r="L469" i="37" s="1"/>
  <c r="L325" i="37" s="1"/>
  <c r="L324" i="37" s="1"/>
  <c r="L318" i="37" s="1"/>
  <c r="L329" i="37" s="1"/>
  <c r="M470" i="37"/>
  <c r="M468" i="37" s="1"/>
  <c r="M469" i="37" s="1"/>
  <c r="M325" i="37" s="1"/>
  <c r="M324" i="37" s="1"/>
  <c r="M318" i="37" s="1"/>
  <c r="M329" i="37" s="1"/>
  <c r="J470" i="37"/>
  <c r="J468" i="37" s="1"/>
  <c r="J469" i="37" s="1"/>
  <c r="J325" i="37" s="1"/>
  <c r="J324" i="37" s="1"/>
  <c r="J318" i="37" s="1"/>
  <c r="J329" i="37" s="1"/>
  <c r="F471" i="37"/>
  <c r="H470" i="37"/>
  <c r="H468" i="37" s="1"/>
  <c r="H469" i="37" s="1"/>
  <c r="H325" i="37" s="1"/>
  <c r="H324" i="37" s="1"/>
  <c r="H318" i="37" s="1"/>
  <c r="H329" i="37" s="1"/>
  <c r="I470" i="37"/>
  <c r="I468" i="37" s="1"/>
  <c r="I469" i="37" s="1"/>
  <c r="I325" i="37" s="1"/>
  <c r="I324" i="37" s="1"/>
  <c r="I318" i="37" s="1"/>
  <c r="I329" i="37" s="1"/>
  <c r="N470" i="37"/>
  <c r="N468" i="37" s="1"/>
  <c r="N469" i="37" s="1"/>
  <c r="N325" i="37" s="1"/>
  <c r="N324" i="37" s="1"/>
  <c r="N318" i="37" s="1"/>
  <c r="N329" i="37" s="1"/>
  <c r="K470" i="37"/>
  <c r="K468" i="37" s="1"/>
  <c r="K469" i="37" s="1"/>
  <c r="K325" i="37" s="1"/>
  <c r="K324" i="37" s="1"/>
  <c r="K318" i="37" s="1"/>
  <c r="K329" i="37" s="1"/>
  <c r="L75" i="37"/>
  <c r="I21" i="34"/>
  <c r="I22" i="34" s="1"/>
  <c r="I23" i="34" s="1"/>
  <c r="I21" i="1"/>
  <c r="I22" i="1" s="1"/>
  <c r="I23" i="1" s="1"/>
  <c r="F74" i="37"/>
  <c r="G75" i="37"/>
  <c r="F318" i="41"/>
  <c r="G329" i="41"/>
  <c r="F329" i="41" s="1"/>
  <c r="G76" i="37" l="1"/>
  <c r="F75" i="37"/>
  <c r="G79" i="37"/>
  <c r="L79" i="37"/>
  <c r="L76" i="37"/>
  <c r="L78" i="37" s="1"/>
  <c r="G470" i="37"/>
  <c r="G468" i="37" s="1"/>
  <c r="G78" i="37" l="1"/>
  <c r="F78" i="37" s="1"/>
  <c r="F76" i="37"/>
  <c r="I24" i="34"/>
  <c r="L63" i="6" s="1"/>
  <c r="L6" i="37"/>
  <c r="L81" i="37"/>
  <c r="L5" i="37" s="1"/>
  <c r="I24" i="1"/>
  <c r="L53" i="6" s="1"/>
  <c r="G81" i="37"/>
  <c r="F79" i="37"/>
  <c r="G6" i="37"/>
  <c r="F468" i="37"/>
  <c r="G469" i="37"/>
  <c r="G325" i="37" s="1"/>
  <c r="K53" i="6" l="1"/>
  <c r="K58" i="6" s="1"/>
  <c r="K59" i="6" s="1"/>
  <c r="K60" i="6" s="1"/>
  <c r="L58" i="6"/>
  <c r="F53" i="6"/>
  <c r="H53" i="6"/>
  <c r="G53" i="6"/>
  <c r="L66" i="6"/>
  <c r="K63" i="6"/>
  <c r="K66" i="6" s="1"/>
  <c r="H63" i="6"/>
  <c r="G63" i="6"/>
  <c r="F63" i="6"/>
  <c r="F6" i="37"/>
  <c r="G324" i="37"/>
  <c r="F325" i="37"/>
  <c r="G5" i="37"/>
  <c r="F5" i="37" s="1"/>
  <c r="F81" i="37"/>
  <c r="L35" i="6" l="1"/>
  <c r="L67" i="6"/>
  <c r="L68" i="6"/>
  <c r="L59" i="6"/>
  <c r="L30" i="6"/>
  <c r="F324" i="37"/>
  <c r="G318" i="37"/>
  <c r="L45" i="6" l="1"/>
  <c r="L31" i="6"/>
  <c r="K31" i="6" s="1"/>
  <c r="K30" i="6"/>
  <c r="L32" i="6"/>
  <c r="L60" i="6"/>
  <c r="L70" i="6" s="1"/>
  <c r="H59" i="6"/>
  <c r="G59" i="6"/>
  <c r="F59" i="6"/>
  <c r="K67" i="6"/>
  <c r="K68" i="6" s="1"/>
  <c r="K70" i="6" s="1"/>
  <c r="H67" i="6"/>
  <c r="G67" i="6"/>
  <c r="F67" i="6"/>
  <c r="K35" i="6"/>
  <c r="L36" i="6"/>
  <c r="K36" i="6" s="1"/>
  <c r="L37" i="6"/>
  <c r="F318" i="37"/>
  <c r="G329" i="37"/>
  <c r="F329" i="37" s="1"/>
  <c r="K37" i="6" l="1"/>
  <c r="K32" i="6"/>
  <c r="L46" i="6"/>
  <c r="K46" i="6" s="1"/>
  <c r="K45" i="6"/>
  <c r="L47" i="6"/>
  <c r="K47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0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0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0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000-000004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0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0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000-000007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0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0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1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1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1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135" authorId="0" shapeId="0" xr:uid="{00000000-0006-0000-0100-000004000000}">
      <text>
        <r>
          <rPr>
            <sz val="9"/>
            <color indexed="81"/>
            <rFont val="ＭＳ Ｐゴシック"/>
            <family val="3"/>
            <charset val="128"/>
          </rPr>
          <t>設備明細の共仮金額を入力</t>
        </r>
      </text>
    </comment>
    <comment ref="G212" authorId="0" shapeId="0" xr:uid="{00000000-0006-0000-01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1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100-000007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100-000008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100-000009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1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profile</author>
    <author>今井　得裕</author>
  </authors>
  <commentList>
    <comment ref="G43" authorId="0" shapeId="0" xr:uid="{00000000-0006-0000-0200-000001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C104" authorId="0" shapeId="0" xr:uid="{00000000-0006-0000-0200-000002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134" authorId="0" shapeId="0" xr:uid="{00000000-0006-0000-0200-000003000000}">
      <text>
        <r>
          <rPr>
            <sz val="9"/>
            <color indexed="81"/>
            <rFont val="ＭＳ Ｐゴシック"/>
            <family val="3"/>
            <charset val="128"/>
          </rPr>
          <t>設備明細の直工金額を入力</t>
        </r>
      </text>
    </comment>
    <comment ref="G212" authorId="0" shapeId="0" xr:uid="{00000000-0006-0000-0200-000004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F223" authorId="1" shapeId="0" xr:uid="{00000000-0006-0000-02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土木工事で一括発注する場合、土木工事原価は直接入力（手打ち）してください。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45" authorId="0" shapeId="0" xr:uid="{00000000-0006-0000-02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  <comment ref="C320" authorId="0" shapeId="0" xr:uid="{00000000-0006-0000-0200-000007000000}">
      <text>
        <r>
          <rPr>
            <sz val="9"/>
            <color indexed="81"/>
            <rFont val="ＭＳ Ｐゴシック"/>
            <family val="3"/>
            <charset val="128"/>
          </rPr>
          <t>設備と分けて欄を作った</t>
        </r>
      </text>
    </comment>
    <comment ref="G428" authorId="0" shapeId="0" xr:uid="{00000000-0006-0000-0200-000008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</t>
        </r>
      </text>
    </comment>
    <comment ref="G460" authorId="0" shapeId="0" xr:uid="{00000000-0006-0000-02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土木工事一括発注時（積算体系の異なる工事）に使用。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</authors>
  <commentList>
    <comment ref="N8" authorId="0" shapeId="0" xr:uid="{00000000-0006-0000-0300-000001000000}">
      <text>
        <r>
          <rPr>
            <sz val="9"/>
            <color rgb="FF000000"/>
            <rFont val="MS P ゴシック"/>
            <charset val="128"/>
          </rPr>
          <t>設計書番号を入力</t>
        </r>
        <r>
          <rPr>
            <sz val="9"/>
            <color rgb="FF000000"/>
            <rFont val="MS P ゴシック"/>
            <charset val="128"/>
          </rPr>
          <t xml:space="preserve">
</t>
        </r>
        <r>
          <rPr>
            <sz val="9"/>
            <color rgb="FF000000"/>
            <rFont val="MS P ゴシック"/>
            <charset val="128"/>
          </rPr>
          <t>（</t>
        </r>
        <r>
          <rPr>
            <sz val="9"/>
            <color rgb="FF000000"/>
            <rFont val="MS P ゴシック"/>
            <charset val="128"/>
          </rPr>
          <t>2018-</t>
        </r>
        <r>
          <rPr>
            <sz val="9"/>
            <color rgb="FF000000"/>
            <rFont val="MS P ゴシック"/>
            <charset val="128"/>
          </rPr>
          <t>は自動で追記されるので入力不要）</t>
        </r>
        <r>
          <rPr>
            <sz val="9"/>
            <color rgb="FF000000"/>
            <rFont val="MS P ゴシック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若島　寛子</author>
  </authors>
  <commentList>
    <comment ref="I1" authorId="0" shapeId="0" xr:uid="{00000000-0006-0000-0500-000001000000}">
      <text>
        <r>
          <rPr>
            <b/>
            <sz val="14"/>
            <color indexed="10"/>
            <rFont val="MS P ゴシック"/>
            <family val="3"/>
            <charset val="128"/>
          </rPr>
          <t>Ｉ列は入力・削除等の操作を行わないでください。</t>
        </r>
      </text>
    </comment>
    <comment ref="I28" authorId="0" shapeId="0" xr:uid="{00000000-0006-0000-0500-000002000000}">
      <text>
        <r>
          <rPr>
            <b/>
            <sz val="9"/>
            <color indexed="81"/>
            <rFont val="MS P ゴシック"/>
            <family val="3"/>
            <charset val="128"/>
          </rPr>
          <t>クリーム色着色部分：
該当する場合のみ直接入力してください。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47" authorId="0" shapeId="0" xr:uid="{00000000-0006-0000-0500-000003000000}">
      <text>
        <r>
          <rPr>
            <b/>
            <sz val="9"/>
            <color indexed="81"/>
            <rFont val="MS P ゴシック"/>
            <family val="3"/>
            <charset val="128"/>
          </rPr>
          <t>建物附属設備は、各工事シートで選択されたものが自動集計される。</t>
        </r>
      </text>
    </comment>
    <comment ref="I62" authorId="0" shapeId="0" xr:uid="{00000000-0006-0000-0500-000004000000}">
      <text>
        <r>
          <rPr>
            <b/>
            <sz val="9"/>
            <color indexed="81"/>
            <rFont val="MS P ゴシック"/>
            <family val="3"/>
            <charset val="128"/>
          </rPr>
          <t>クリーム色着色部分：
該当する場合のみ直接入力してください。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I79" authorId="0" shapeId="0" xr:uid="{00000000-0006-0000-0500-000005000000}">
      <text>
        <r>
          <rPr>
            <b/>
            <sz val="9"/>
            <color indexed="81"/>
            <rFont val="MS P ゴシック"/>
            <family val="3"/>
            <charset val="128"/>
          </rPr>
          <t>工具・器具・備品は、各工事シートで選択されたものが自動集計される。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佐藤　裕孝</author>
    <author>profile</author>
    <author>今井　得裕</author>
  </authors>
  <commentList>
    <comment ref="G48" authorId="0" shapeId="0" xr:uid="{00000000-0006-0000-0E00-000001000000}">
      <text>
        <r>
          <rPr>
            <b/>
            <sz val="9"/>
            <color indexed="81"/>
            <rFont val="MS P ゴシック"/>
            <family val="3"/>
            <charset val="128"/>
          </rPr>
          <t>=IF(G42=0,IF(G35=0,IF(G8=G65,0,G43+G46+G47),G43+G46+G47),G42)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92" authorId="1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C117" authorId="1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117" authorId="1" shapeId="0" xr:uid="{00000000-0006-0000-0E00-000004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143" authorId="1" shapeId="0" xr:uid="{00000000-0006-0000-0E00-000005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154" authorId="2" shapeId="0" xr:uid="{00000000-0006-0000-0E00-000006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220" authorId="2" shapeId="0" xr:uid="{00000000-0006-0000-0E00-000007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</text>
    </comment>
    <comment ref="G225" authorId="2" shapeId="0" xr:uid="{00000000-0006-0000-0E00-000008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6" authorId="2" shapeId="0" xr:uid="{00000000-0006-0000-0E00-000009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28" authorId="2" shapeId="0" xr:uid="{00000000-0006-0000-0E00-00000A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G234" authorId="2" shapeId="0" xr:uid="{00000000-0006-0000-0E00-00000B000000}">
      <text>
        <r>
          <rPr>
            <sz val="9"/>
            <color indexed="81"/>
            <rFont val="ＭＳ Ｐゴシック"/>
            <family val="3"/>
            <charset val="128"/>
          </rPr>
          <t xml:space="preserve">数式変更
</t>
        </r>
      </text>
    </comment>
    <comment ref="C237" authorId="1" shapeId="0" xr:uid="{00000000-0006-0000-0E00-00000C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今回の専業工種に書き換える。
なお、解体専業工事（建物を全て撤去して更地にするとか）はこの専業諸経費表を使わないので注意して下さい。
</t>
        </r>
      </text>
    </comment>
    <comment ref="G250" authorId="1" shapeId="0" xr:uid="{00000000-0006-0000-0E00-00000D000000}">
      <text>
        <r>
          <rPr>
            <sz val="9"/>
            <color indexed="81"/>
            <rFont val="ＭＳ Ｐゴシック"/>
            <family val="3"/>
            <charset val="128"/>
          </rPr>
          <t>H23）設備明細の直工金額を入力</t>
        </r>
      </text>
    </comment>
    <comment ref="G251" authorId="1" shapeId="0" xr:uid="{00000000-0006-0000-0E00-00000E000000}">
      <text>
        <r>
          <rPr>
            <sz val="9"/>
            <color indexed="81"/>
            <rFont val="ＭＳ Ｐゴシック"/>
            <family val="3"/>
            <charset val="128"/>
          </rPr>
          <t>H23）設備明細の共仮金額を入力</t>
        </r>
      </text>
    </comment>
    <comment ref="C262" authorId="1" shapeId="0" xr:uid="{00000000-0006-0000-0E00-00000F000000}">
      <text>
        <r>
          <rPr>
            <sz val="9"/>
            <color indexed="81"/>
            <rFont val="ＭＳ Ｐゴシック"/>
            <family val="3"/>
            <charset val="128"/>
          </rPr>
          <t xml:space="preserve">今回の専業工種に書き換える
</t>
        </r>
      </text>
    </comment>
    <comment ref="E262" authorId="1" shapeId="0" xr:uid="{00000000-0006-0000-0E00-000010000000}">
      <text>
        <r>
          <rPr>
            <sz val="9"/>
            <color indexed="81"/>
            <rFont val="ＭＳ Ｐゴシック"/>
            <family val="3"/>
            <charset val="128"/>
          </rPr>
          <t>左記工種の経費率を入力する</t>
        </r>
      </text>
    </comment>
    <comment ref="G288" authorId="1" shapeId="0" xr:uid="{00000000-0006-0000-0E00-000011000000}">
      <text>
        <r>
          <rPr>
            <sz val="9"/>
            <color indexed="81"/>
            <rFont val="ＭＳ Ｐゴシック"/>
            <family val="3"/>
            <charset val="128"/>
          </rPr>
          <t>H23）設備明細の現場管理費を入力する51000</t>
        </r>
      </text>
    </comment>
    <comment ref="G299" authorId="2" shapeId="0" xr:uid="{00000000-0006-0000-0E00-000012000000}">
      <text>
        <r>
          <rPr>
            <b/>
            <sz val="9"/>
            <color indexed="81"/>
            <rFont val="ＭＳ Ｐゴシック"/>
            <family val="3"/>
            <charset val="128"/>
          </rPr>
          <t>数式変更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9214806</author>
  </authors>
  <commentList>
    <comment ref="G79" authorId="0" shapeId="0" xr:uid="{00000000-0006-0000-0F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G82" authorId="0" shapeId="0" xr:uid="{00000000-0006-0000-0F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純工事費が増額で、現場管理費、一般管理費等が減額となっても積算要領により、端数金額の処理は、一般管理費等で減額調整を行なうため、やむ負えない。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<sst xmlns="http://schemas.openxmlformats.org/spreadsheetml/2006/main" count="6652" uniqueCount="3048">
  <si>
    <t>名             称</t>
  </si>
  <si>
    <t>形   状   寸   法</t>
  </si>
  <si>
    <t>数   量</t>
  </si>
  <si>
    <t>単 位</t>
  </si>
  <si>
    <t>単   価</t>
  </si>
  <si>
    <t>金    額</t>
  </si>
  <si>
    <t>摘            要</t>
  </si>
  <si>
    <t>式</t>
  </si>
  <si>
    <t>小    計</t>
  </si>
  <si>
    <t>運搬時間</t>
  </si>
  <si>
    <t>作業時間</t>
    <phoneticPr fontId="2"/>
  </si>
  <si>
    <t>円</t>
    <rPh sb="0" eb="1">
      <t>エン</t>
    </rPh>
    <phoneticPr fontId="2"/>
  </si>
  <si>
    <t>作業時間</t>
    <phoneticPr fontId="2"/>
  </si>
  <si>
    <t>消費税及び地方消費税相当額</t>
  </si>
  <si>
    <t>○○工事の部</t>
    <rPh sb="2" eb="4">
      <t>コウジ</t>
    </rPh>
    <rPh sb="5" eb="6">
      <t>ブ</t>
    </rPh>
    <phoneticPr fontId="2"/>
  </si>
  <si>
    <t>〇〇工事   見積り金額比較表</t>
  </si>
  <si>
    <t>作業</t>
    <rPh sb="0" eb="2">
      <t>サギョウ</t>
    </rPh>
    <phoneticPr fontId="2"/>
  </si>
  <si>
    <t>時間</t>
    <rPh sb="0" eb="2">
      <t>ジカン</t>
    </rPh>
    <phoneticPr fontId="2"/>
  </si>
  <si>
    <t>運搬</t>
    <rPh sb="0" eb="2">
      <t>ウンパン</t>
    </rPh>
    <phoneticPr fontId="2"/>
  </si>
  <si>
    <t>名　　　　称</t>
    <rPh sb="0" eb="1">
      <t>メイ</t>
    </rPh>
    <rPh sb="5" eb="6">
      <t>ショウ</t>
    </rPh>
    <phoneticPr fontId="2"/>
  </si>
  <si>
    <t>形　状　寸　法</t>
    <rPh sb="0" eb="1">
      <t>カタチ</t>
    </rPh>
    <rPh sb="2" eb="3">
      <t>ジョウ</t>
    </rPh>
    <rPh sb="4" eb="5">
      <t>スン</t>
    </rPh>
    <rPh sb="6" eb="7">
      <t>ホウ</t>
    </rPh>
    <phoneticPr fontId="2"/>
  </si>
  <si>
    <t>数量</t>
    <rPh sb="0" eb="2">
      <t>スウリョウ</t>
    </rPh>
    <phoneticPr fontId="2"/>
  </si>
  <si>
    <t>単位</t>
    <rPh sb="0" eb="2">
      <t>タンイ</t>
    </rPh>
    <phoneticPr fontId="2"/>
  </si>
  <si>
    <t>単　価</t>
    <rPh sb="0" eb="1">
      <t>タン</t>
    </rPh>
    <rPh sb="2" eb="3">
      <t>アタイ</t>
    </rPh>
    <phoneticPr fontId="2"/>
  </si>
  <si>
    <t>金　額</t>
    <rPh sb="0" eb="1">
      <t>キン</t>
    </rPh>
    <rPh sb="2" eb="3">
      <t>ガク</t>
    </rPh>
    <phoneticPr fontId="2"/>
  </si>
  <si>
    <t>C:</t>
    <phoneticPr fontId="2"/>
  </si>
  <si>
    <t>ｺｰﾄﾞNo</t>
    <phoneticPr fontId="2"/>
  </si>
  <si>
    <t>調整単価</t>
    <rPh sb="0" eb="2">
      <t>チョウセイ</t>
    </rPh>
    <rPh sb="2" eb="3">
      <t>タン</t>
    </rPh>
    <rPh sb="3" eb="4">
      <t>アタイ</t>
    </rPh>
    <phoneticPr fontId="2"/>
  </si>
  <si>
    <t>採用単価</t>
    <rPh sb="0" eb="2">
      <t>サイヨウ</t>
    </rPh>
    <rPh sb="2" eb="4">
      <t>タンカ</t>
    </rPh>
    <phoneticPr fontId="2"/>
  </si>
  <si>
    <t>最小値→</t>
    <rPh sb="0" eb="3">
      <t>サイショウチ</t>
    </rPh>
    <phoneticPr fontId="2"/>
  </si>
  <si>
    <t>単価ｺｰﾄﾞ</t>
  </si>
  <si>
    <t>形  状  寸  法</t>
  </si>
  <si>
    <t>単位</t>
  </si>
  <si>
    <t>材料費</t>
  </si>
  <si>
    <t>１Ａ</t>
  </si>
  <si>
    <t>２Ａ</t>
  </si>
  <si>
    <t>３Ａ</t>
  </si>
  <si>
    <t>４Ａ</t>
  </si>
  <si>
    <t>備    考</t>
  </si>
  <si>
    <t>工種</t>
    <rPh sb="0" eb="2">
      <t>コウシュ</t>
    </rPh>
    <phoneticPr fontId="2"/>
  </si>
  <si>
    <t>金額欄計算式    =&gt;</t>
    <rPh sb="0" eb="2">
      <t>キンガク</t>
    </rPh>
    <rPh sb="2" eb="3">
      <t>ラン</t>
    </rPh>
    <rPh sb="3" eb="5">
      <t>ケイサン</t>
    </rPh>
    <rPh sb="5" eb="6">
      <t>シキ</t>
    </rPh>
    <phoneticPr fontId="2"/>
  </si>
  <si>
    <t>標準単価ファイル名</t>
    <rPh sb="0" eb="2">
      <t>ヒョウジュン</t>
    </rPh>
    <rPh sb="2" eb="4">
      <t>タンカ</t>
    </rPh>
    <rPh sb="8" eb="9">
      <t>メイ</t>
    </rPh>
    <phoneticPr fontId="2"/>
  </si>
  <si>
    <t>標準単価ﾌｧｲﾙ保管場所</t>
    <rPh sb="0" eb="2">
      <t>ヒョウジュン</t>
    </rPh>
    <rPh sb="2" eb="4">
      <t>タンカ</t>
    </rPh>
    <rPh sb="8" eb="10">
      <t>ホカン</t>
    </rPh>
    <rPh sb="10" eb="12">
      <t>バショ</t>
    </rPh>
    <phoneticPr fontId="2"/>
  </si>
  <si>
    <t>各シートの最大行数（単価挿入時にEOL無し時に実行する範囲。小さいと処理は早く終わるが、この行以降のデータに単価は挿入されない。）</t>
    <rPh sb="0" eb="1">
      <t>カク</t>
    </rPh>
    <rPh sb="5" eb="7">
      <t>サイダイ</t>
    </rPh>
    <rPh sb="7" eb="9">
      <t>ギョウスウ</t>
    </rPh>
    <rPh sb="10" eb="12">
      <t>タンカ</t>
    </rPh>
    <rPh sb="12" eb="14">
      <t>ソウニュウ</t>
    </rPh>
    <rPh sb="14" eb="15">
      <t>ジ</t>
    </rPh>
    <rPh sb="19" eb="20">
      <t>ナ</t>
    </rPh>
    <rPh sb="21" eb="22">
      <t>ジ</t>
    </rPh>
    <rPh sb="23" eb="25">
      <t>ジッコウ</t>
    </rPh>
    <rPh sb="27" eb="29">
      <t>ハンイ</t>
    </rPh>
    <rPh sb="30" eb="31">
      <t>チイ</t>
    </rPh>
    <rPh sb="34" eb="36">
      <t>ショリ</t>
    </rPh>
    <rPh sb="37" eb="38">
      <t>ハヤ</t>
    </rPh>
    <rPh sb="39" eb="40">
      <t>オ</t>
    </rPh>
    <rPh sb="46" eb="47">
      <t>ギョウ</t>
    </rPh>
    <rPh sb="47" eb="49">
      <t>イコウ</t>
    </rPh>
    <rPh sb="54" eb="56">
      <t>タンカ</t>
    </rPh>
    <rPh sb="57" eb="59">
      <t>ソウニュウ</t>
    </rPh>
    <phoneticPr fontId="2"/>
  </si>
  <si>
    <t>運搬時間</t>
    <phoneticPr fontId="2"/>
  </si>
  <si>
    <t>cells(8,8)</t>
    <phoneticPr fontId="2"/>
  </si>
  <si>
    <t>cells(10,8)</t>
    <phoneticPr fontId="2"/>
  </si>
  <si>
    <t>cells(12,8)</t>
    <phoneticPr fontId="2"/>
  </si>
  <si>
    <t>　計</t>
    <rPh sb="1" eb="2">
      <t>ケイ</t>
    </rPh>
    <phoneticPr fontId="2"/>
  </si>
  <si>
    <t>/</t>
    <phoneticPr fontId="2"/>
  </si>
  <si>
    <t>前シートのページ数</t>
    <rPh sb="0" eb="1">
      <t>ゼン</t>
    </rPh>
    <rPh sb="8" eb="9">
      <t>スウ</t>
    </rPh>
    <phoneticPr fontId="2"/>
  </si>
  <si>
    <t>各シートのトップページを常に書き換えるか(Yes=1 No=0)</t>
    <rPh sb="0" eb="1">
      <t>カク</t>
    </rPh>
    <rPh sb="12" eb="13">
      <t>ツネ</t>
    </rPh>
    <rPh sb="14" eb="15">
      <t>カ</t>
    </rPh>
    <rPh sb="16" eb="17">
      <t>カ</t>
    </rPh>
    <phoneticPr fontId="2"/>
  </si>
  <si>
    <t>cells(14,8)</t>
    <phoneticPr fontId="2"/>
  </si>
  <si>
    <r>
      <t>現在の工事部数（シートの数）</t>
    </r>
    <r>
      <rPr>
        <b/>
        <sz val="11"/>
        <rFont val="ＭＳ Ｐゴシック"/>
        <family val="3"/>
        <charset val="128"/>
      </rPr>
      <t>(！！書き換え厳禁！！）</t>
    </r>
    <rPh sb="0" eb="2">
      <t>ゲンザイ</t>
    </rPh>
    <rPh sb="3" eb="5">
      <t>コウジ</t>
    </rPh>
    <rPh sb="5" eb="6">
      <t>ブ</t>
    </rPh>
    <rPh sb="6" eb="7">
      <t>スウ</t>
    </rPh>
    <rPh sb="12" eb="13">
      <t>カズ</t>
    </rPh>
    <rPh sb="17" eb="18">
      <t>カ</t>
    </rPh>
    <rPh sb="19" eb="20">
      <t>カ</t>
    </rPh>
    <rPh sb="21" eb="23">
      <t>ゲンキン</t>
    </rPh>
    <phoneticPr fontId="2"/>
  </si>
  <si>
    <r>
      <t>最終ページ数</t>
    </r>
    <r>
      <rPr>
        <b/>
        <sz val="11"/>
        <rFont val="ＭＳ Ｐゴシック"/>
        <family val="3"/>
        <charset val="128"/>
      </rPr>
      <t>（！！書き換え厳禁！！）</t>
    </r>
    <rPh sb="0" eb="2">
      <t>サイシュウ</t>
    </rPh>
    <rPh sb="5" eb="6">
      <t>スウ</t>
    </rPh>
    <rPh sb="9" eb="10">
      <t>カ</t>
    </rPh>
    <rPh sb="11" eb="12">
      <t>カ</t>
    </rPh>
    <rPh sb="13" eb="15">
      <t>ゲンキン</t>
    </rPh>
    <phoneticPr fontId="2"/>
  </si>
  <si>
    <t>cells(18,8)</t>
    <phoneticPr fontId="2"/>
  </si>
  <si>
    <t>このシートの最終ページ数</t>
    <rPh sb="6" eb="8">
      <t>サイシュウ</t>
    </rPh>
    <rPh sb="11" eb="12">
      <t>スウ</t>
    </rPh>
    <phoneticPr fontId="2"/>
  </si>
  <si>
    <t>代価一覧のデータ数</t>
    <rPh sb="0" eb="2">
      <t>ダイカ</t>
    </rPh>
    <rPh sb="2" eb="4">
      <t>イチラン</t>
    </rPh>
    <rPh sb="8" eb="9">
      <t>スウ</t>
    </rPh>
    <phoneticPr fontId="2"/>
  </si>
  <si>
    <t>cells(20,8)</t>
    <phoneticPr fontId="2"/>
  </si>
  <si>
    <t>名称(空白は不可)</t>
    <rPh sb="3" eb="5">
      <t>クウハク</t>
    </rPh>
    <rPh sb="6" eb="8">
      <t>フカ</t>
    </rPh>
    <phoneticPr fontId="2"/>
  </si>
  <si>
    <t>m3</t>
  </si>
  <si>
    <t>前ﾍﾟｰｼﾞから続きの場合「１」を入力　→</t>
    <rPh sb="0" eb="1">
      <t>マエ</t>
    </rPh>
    <rPh sb="8" eb="9">
      <t>ツヅ</t>
    </rPh>
    <rPh sb="11" eb="13">
      <t>バアイ</t>
    </rPh>
    <rPh sb="17" eb="19">
      <t>ニュウリョク</t>
    </rPh>
    <phoneticPr fontId="2"/>
  </si>
  <si>
    <t>全ページ数</t>
    <rPh sb="0" eb="1">
      <t>ゼン</t>
    </rPh>
    <rPh sb="4" eb="5">
      <t>スウ</t>
    </rPh>
    <phoneticPr fontId="2"/>
  </si>
  <si>
    <t>この参考明細のバージョン</t>
    <rPh sb="2" eb="4">
      <t>サンコウ</t>
    </rPh>
    <rPh sb="4" eb="6">
      <t>メイサイ</t>
    </rPh>
    <phoneticPr fontId="2"/>
  </si>
  <si>
    <t>cells(25,8)</t>
    <phoneticPr fontId="2"/>
  </si>
  <si>
    <t>(</t>
  </si>
  <si>
    <t>)</t>
  </si>
  <si>
    <t>材料</t>
    <rPh sb="0" eb="2">
      <t>ザイリョウ</t>
    </rPh>
    <phoneticPr fontId="2"/>
  </si>
  <si>
    <t>形状寸法</t>
    <rPh sb="0" eb="2">
      <t>ケイジョウ</t>
    </rPh>
    <rPh sb="2" eb="4">
      <t>スンポウ</t>
    </rPh>
    <phoneticPr fontId="2"/>
  </si>
  <si>
    <t>重量</t>
    <rPh sb="0" eb="2">
      <t>ジュウリョウ</t>
    </rPh>
    <phoneticPr fontId="2"/>
  </si>
  <si>
    <t>(</t>
    <phoneticPr fontId="2"/>
  </si>
  <si>
    <t>)</t>
    <phoneticPr fontId="2"/>
  </si>
  <si>
    <t>Ｄ１３</t>
  </si>
  <si>
    <t>Ｄ１６</t>
  </si>
  <si>
    <t>Ｄ１９</t>
  </si>
  <si>
    <t>Ｄ２２</t>
  </si>
  <si>
    <t>生コンクリート</t>
  </si>
  <si>
    <t>Fc=18,sl=18</t>
  </si>
  <si>
    <t>Fc=21,sl=18</t>
  </si>
  <si>
    <t>建築工事</t>
    <rPh sb="0" eb="2">
      <t>ケンチク</t>
    </rPh>
    <rPh sb="2" eb="4">
      <t>コウジ</t>
    </rPh>
    <phoneticPr fontId="2"/>
  </si>
  <si>
    <t>c:\積算\</t>
    <rPh sb="3" eb="5">
      <t>セキサン</t>
    </rPh>
    <phoneticPr fontId="2"/>
  </si>
  <si>
    <t>各シートの明細書開始行数(拡張用につき、変更厳禁）</t>
    <rPh sb="0" eb="1">
      <t>カク</t>
    </rPh>
    <rPh sb="5" eb="8">
      <t>メイサイショ</t>
    </rPh>
    <rPh sb="8" eb="10">
      <t>カイシ</t>
    </rPh>
    <rPh sb="10" eb="12">
      <t>ギョウスウ</t>
    </rPh>
    <rPh sb="13" eb="15">
      <t>カクチョウ</t>
    </rPh>
    <rPh sb="15" eb="16">
      <t>ヨウ</t>
    </rPh>
    <rPh sb="20" eb="22">
      <t>ヘンコウ</t>
    </rPh>
    <rPh sb="22" eb="24">
      <t>ゲンキン</t>
    </rPh>
    <phoneticPr fontId="2"/>
  </si>
  <si>
    <t>シートの保護を有効にするか(Yes=1 No=0)</t>
    <rPh sb="4" eb="6">
      <t>ホゴ</t>
    </rPh>
    <rPh sb="7" eb="9">
      <t>ユウコウ</t>
    </rPh>
    <phoneticPr fontId="2"/>
  </si>
  <si>
    <t>cells(29,8)</t>
    <phoneticPr fontId="2"/>
  </si>
  <si>
    <t>Fc=24,sl=15</t>
  </si>
  <si>
    <t>調整率</t>
    <rPh sb="0" eb="2">
      <t>チョウセイ</t>
    </rPh>
    <rPh sb="2" eb="3">
      <t>リツ</t>
    </rPh>
    <phoneticPr fontId="2"/>
  </si>
  <si>
    <t>page</t>
    <phoneticPr fontId="2"/>
  </si>
  <si>
    <t>/</t>
    <phoneticPr fontId="2"/>
  </si>
  <si>
    <t>(</t>
    <phoneticPr fontId="2"/>
  </si>
  <si>
    <t>)</t>
    <phoneticPr fontId="2"/>
  </si>
  <si>
    <t>1A-3A</t>
    <phoneticPr fontId="2"/>
  </si>
  <si>
    <t>1A-4A</t>
    <phoneticPr fontId="2"/>
  </si>
  <si>
    <t>Ｄ１０</t>
    <phoneticPr fontId="2"/>
  </si>
  <si>
    <t>t</t>
    <phoneticPr fontId="2"/>
  </si>
  <si>
    <t>前回userform終了時の作業時間</t>
    <rPh sb="0" eb="2">
      <t>ゼンカイ</t>
    </rPh>
    <rPh sb="10" eb="13">
      <t>シュウリョウジ</t>
    </rPh>
    <rPh sb="14" eb="16">
      <t>サギョウ</t>
    </rPh>
    <rPh sb="16" eb="18">
      <t>ジカン</t>
    </rPh>
    <phoneticPr fontId="2"/>
  </si>
  <si>
    <t>cells(4,4)</t>
    <phoneticPr fontId="2"/>
  </si>
  <si>
    <t>前回userform終了時の運搬時間</t>
    <rPh sb="0" eb="2">
      <t>ゼンカイ</t>
    </rPh>
    <rPh sb="10" eb="13">
      <t>シュウリョウジ</t>
    </rPh>
    <rPh sb="14" eb="16">
      <t>ウンパン</t>
    </rPh>
    <rPh sb="16" eb="18">
      <t>ジカン</t>
    </rPh>
    <phoneticPr fontId="2"/>
  </si>
  <si>
    <t>前回userform終了時の工種番号</t>
    <rPh sb="0" eb="2">
      <t>ゼンカイ</t>
    </rPh>
    <rPh sb="10" eb="13">
      <t>シュウリョウジ</t>
    </rPh>
    <rPh sb="14" eb="15">
      <t>コウジ</t>
    </rPh>
    <rPh sb="15" eb="16">
      <t>シュルイ</t>
    </rPh>
    <rPh sb="16" eb="18">
      <t>バンゴウ</t>
    </rPh>
    <phoneticPr fontId="2"/>
  </si>
  <si>
    <t>前回userform終了時の選択行</t>
    <rPh sb="0" eb="2">
      <t>ゼンカイ</t>
    </rPh>
    <rPh sb="10" eb="13">
      <t>シュウリョウジ</t>
    </rPh>
    <rPh sb="14" eb="16">
      <t>センタク</t>
    </rPh>
    <rPh sb="16" eb="17">
      <t>ギョウ</t>
    </rPh>
    <phoneticPr fontId="2"/>
  </si>
  <si>
    <t>cells(6,4)</t>
    <phoneticPr fontId="2"/>
  </si>
  <si>
    <t>cells(8,4)</t>
    <phoneticPr fontId="2"/>
  </si>
  <si>
    <t>cells(10,4)</t>
    <phoneticPr fontId="2"/>
  </si>
  <si>
    <t>積算担当者編集時「１」（注：設計者は絶対に触らないで下さい。エラーの原因になります！！）</t>
    <rPh sb="0" eb="2">
      <t>セキサン</t>
    </rPh>
    <rPh sb="2" eb="5">
      <t>タントウシャ</t>
    </rPh>
    <rPh sb="5" eb="7">
      <t>ヘンシュウ</t>
    </rPh>
    <rPh sb="7" eb="8">
      <t>ジ</t>
    </rPh>
    <rPh sb="12" eb="13">
      <t>チュウ</t>
    </rPh>
    <rPh sb="14" eb="17">
      <t>セッケイシャ</t>
    </rPh>
    <rPh sb="18" eb="20">
      <t>ゼッタイ</t>
    </rPh>
    <rPh sb="21" eb="22">
      <t>サワ</t>
    </rPh>
    <rPh sb="26" eb="27">
      <t>クダ</t>
    </rPh>
    <rPh sb="34" eb="36">
      <t>ゲンイン</t>
    </rPh>
    <phoneticPr fontId="2"/>
  </si>
  <si>
    <t>金入用標準単価ファイル名</t>
    <rPh sb="0" eb="1">
      <t>キン</t>
    </rPh>
    <rPh sb="1" eb="2">
      <t>イ</t>
    </rPh>
    <rPh sb="2" eb="3">
      <t>ヨウ</t>
    </rPh>
    <rPh sb="3" eb="5">
      <t>ヒョウジュン</t>
    </rPh>
    <rPh sb="5" eb="7">
      <t>タンカ</t>
    </rPh>
    <rPh sb="11" eb="12">
      <t>メイ</t>
    </rPh>
    <phoneticPr fontId="2"/>
  </si>
  <si>
    <t>現在のEXCELのバージョン</t>
    <rPh sb="0" eb="2">
      <t>ゲンザイ</t>
    </rPh>
    <phoneticPr fontId="2"/>
  </si>
  <si>
    <t>cells(12,4)</t>
    <phoneticPr fontId="2"/>
  </si>
  <si>
    <t>Fc=24,sl=18</t>
  </si>
  <si>
    <t>cells(14,4)</t>
    <phoneticPr fontId="2"/>
  </si>
  <si>
    <t>前回userform終了時の選択単価</t>
    <rPh sb="0" eb="2">
      <t>ゼンカイ</t>
    </rPh>
    <rPh sb="10" eb="13">
      <t>シュウリョウジ</t>
    </rPh>
    <rPh sb="14" eb="16">
      <t>センタク</t>
    </rPh>
    <rPh sb="16" eb="18">
      <t>タンカ</t>
    </rPh>
    <phoneticPr fontId="2"/>
  </si>
  <si>
    <t>鉄筋 SD295A</t>
    <rPh sb="0" eb="2">
      <t>テッキン</t>
    </rPh>
    <phoneticPr fontId="2"/>
  </si>
  <si>
    <t>鉄筋 SD345</t>
    <rPh sb="0" eb="2">
      <t>テッキン</t>
    </rPh>
    <phoneticPr fontId="2"/>
  </si>
  <si>
    <t>cells(2,4)</t>
    <phoneticPr fontId="2"/>
  </si>
  <si>
    <t>前回userform終了時の画面サイズ</t>
    <rPh sb="0" eb="2">
      <t>ゼンカイ</t>
    </rPh>
    <rPh sb="10" eb="13">
      <t>シュウリョウジ</t>
    </rPh>
    <rPh sb="14" eb="16">
      <t>ガメン</t>
    </rPh>
    <phoneticPr fontId="2"/>
  </si>
  <si>
    <t>ヵ所</t>
    <rPh sb="1" eb="2">
      <t>ショ</t>
    </rPh>
    <phoneticPr fontId="2"/>
  </si>
  <si>
    <t>諸経費表ファイル名</t>
    <rPh sb="0" eb="3">
      <t>ショケイヒ</t>
    </rPh>
    <rPh sb="3" eb="4">
      <t>ヒョウ</t>
    </rPh>
    <rPh sb="8" eb="9">
      <t>メイ</t>
    </rPh>
    <phoneticPr fontId="2"/>
  </si>
  <si>
    <t>諸経費表ﾌｧｲﾙ保管場所</t>
    <rPh sb="0" eb="3">
      <t>ショケイヒ</t>
    </rPh>
    <rPh sb="3" eb="4">
      <t>ヒョウ</t>
    </rPh>
    <rPh sb="8" eb="10">
      <t>ホカン</t>
    </rPh>
    <rPh sb="10" eb="12">
      <t>バショ</t>
    </rPh>
    <phoneticPr fontId="2"/>
  </si>
  <si>
    <t>諸経費表のシート名（１－３）</t>
    <rPh sb="0" eb="3">
      <t>ショケイヒ</t>
    </rPh>
    <rPh sb="3" eb="4">
      <t>ヒョウ</t>
    </rPh>
    <rPh sb="8" eb="9">
      <t>メイ</t>
    </rPh>
    <phoneticPr fontId="2"/>
  </si>
  <si>
    <t>cells(31,8)</t>
    <phoneticPr fontId="2"/>
  </si>
  <si>
    <t>cells(32,8)</t>
    <phoneticPr fontId="2"/>
  </si>
  <si>
    <t>cells(33,8)</t>
    <phoneticPr fontId="2"/>
  </si>
  <si>
    <t>cells(27,8(9))</t>
    <phoneticPr fontId="2"/>
  </si>
  <si>
    <t>１工種で複数ページになったときの合計式(右は変更時)</t>
    <rPh sb="1" eb="3">
      <t>コウシュ</t>
    </rPh>
    <rPh sb="4" eb="6">
      <t>フクスウ</t>
    </rPh>
    <rPh sb="16" eb="18">
      <t>ゴウケイ</t>
    </rPh>
    <rPh sb="18" eb="19">
      <t>シキ</t>
    </rPh>
    <rPh sb="20" eb="21">
      <t>ミギ</t>
    </rPh>
    <rPh sb="22" eb="24">
      <t>ヘンコウ</t>
    </rPh>
    <rPh sb="24" eb="25">
      <t>ジ</t>
    </rPh>
    <phoneticPr fontId="2"/>
  </si>
  <si>
    <t>廃プラ</t>
  </si>
  <si>
    <t>がれき</t>
  </si>
  <si>
    <t>繊維くず</t>
  </si>
  <si>
    <t>繊維くず</t>
    <rPh sb="0" eb="2">
      <t>センイ</t>
    </rPh>
    <phoneticPr fontId="2"/>
  </si>
  <si>
    <t>ガラス
陶磁器</t>
    <rPh sb="4" eb="7">
      <t>トウジキ</t>
    </rPh>
    <phoneticPr fontId="2"/>
  </si>
  <si>
    <t>残材処分費</t>
    <rPh sb="0" eb="1">
      <t>ザン</t>
    </rPh>
    <rPh sb="1" eb="2">
      <t>ザイ</t>
    </rPh>
    <rPh sb="2" eb="4">
      <t>ショブン</t>
    </rPh>
    <rPh sb="4" eb="5">
      <t>ヒ</t>
    </rPh>
    <phoneticPr fontId="2"/>
  </si>
  <si>
    <t>鉄</t>
    <rPh sb="0" eb="1">
      <t>テツ</t>
    </rPh>
    <phoneticPr fontId="2"/>
  </si>
  <si>
    <t>アルミ</t>
    <phoneticPr fontId="2"/>
  </si>
  <si>
    <t>銅</t>
    <rPh sb="0" eb="1">
      <t>ドウ</t>
    </rPh>
    <phoneticPr fontId="2"/>
  </si>
  <si>
    <t>ｽﾃﾝﾚｽ</t>
    <phoneticPr fontId="2"/>
  </si>
  <si>
    <t>小運搬重量(単位重量(kg))</t>
    <rPh sb="0" eb="1">
      <t>コ</t>
    </rPh>
    <rPh sb="1" eb="3">
      <t>ウンパン</t>
    </rPh>
    <rPh sb="3" eb="5">
      <t>ジュウリョウ</t>
    </rPh>
    <rPh sb="6" eb="8">
      <t>タンイ</t>
    </rPh>
    <rPh sb="8" eb="10">
      <t>ジュウリョウ</t>
    </rPh>
    <phoneticPr fontId="2"/>
  </si>
  <si>
    <t>ガラス
陶磁器</t>
  </si>
  <si>
    <t>鉄</t>
  </si>
  <si>
    <t>ｽﾃﾝﾚｽ</t>
  </si>
  <si>
    <t>アルミ</t>
  </si>
  <si>
    <t>銅</t>
  </si>
  <si>
    <t>処分費重量</t>
    <rPh sb="0" eb="2">
      <t>ショブン</t>
    </rPh>
    <rPh sb="2" eb="3">
      <t>ヒ</t>
    </rPh>
    <rPh sb="3" eb="5">
      <t>ジュウリョウ</t>
    </rPh>
    <phoneticPr fontId="2"/>
  </si>
  <si>
    <t>材料</t>
  </si>
  <si>
    <t>小運搬表（残材処分費）</t>
    <rPh sb="0" eb="1">
      <t>コ</t>
    </rPh>
    <rPh sb="1" eb="3">
      <t>ウンパン</t>
    </rPh>
    <rPh sb="3" eb="4">
      <t>ヒョウ</t>
    </rPh>
    <rPh sb="5" eb="6">
      <t>ザン</t>
    </rPh>
    <rPh sb="6" eb="7">
      <t>ザイ</t>
    </rPh>
    <rPh sb="7" eb="9">
      <t>ショブン</t>
    </rPh>
    <rPh sb="9" eb="10">
      <t>ヒ</t>
    </rPh>
    <phoneticPr fontId="2"/>
  </si>
  <si>
    <t>小運搬表（運搬費）</t>
    <rPh sb="0" eb="1">
      <t>コ</t>
    </rPh>
    <rPh sb="1" eb="3">
      <t>ウンパン</t>
    </rPh>
    <rPh sb="3" eb="4">
      <t>ヒョウ</t>
    </rPh>
    <rPh sb="5" eb="7">
      <t>ウンパン</t>
    </rPh>
    <rPh sb="7" eb="8">
      <t>ヒ</t>
    </rPh>
    <phoneticPr fontId="2"/>
  </si>
  <si>
    <t>ｽｸﾗｯﾌﾟ重量</t>
    <rPh sb="6" eb="8">
      <t>ジュウリョウ</t>
    </rPh>
    <phoneticPr fontId="2"/>
  </si>
  <si>
    <t>m2</t>
  </si>
  <si>
    <t>１．直接工事費</t>
    <rPh sb="2" eb="4">
      <t>チョクセツ</t>
    </rPh>
    <rPh sb="4" eb="7">
      <t>コウジヒ</t>
    </rPh>
    <phoneticPr fontId="2"/>
  </si>
  <si>
    <t>２．共通費</t>
    <rPh sb="2" eb="4">
      <t>キョウツウ</t>
    </rPh>
    <rPh sb="4" eb="5">
      <t>ヒ</t>
    </rPh>
    <phoneticPr fontId="2"/>
  </si>
  <si>
    <t>現場管理費・一般管理費等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トウ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</si>
  <si>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</si>
  <si>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共通仮設費</t>
    <rPh sb="4" eb="5">
      <t>ヒ</t>
    </rPh>
    <phoneticPr fontId="2"/>
  </si>
  <si>
    <t>作業時間</t>
    <phoneticPr fontId="2"/>
  </si>
  <si>
    <t>page</t>
    <phoneticPr fontId="2"/>
  </si>
  <si>
    <t>/</t>
    <phoneticPr fontId="2"/>
  </si>
  <si>
    <t>会所４００角</t>
    <rPh sb="0" eb="2">
      <t>カイショ</t>
    </rPh>
    <rPh sb="5" eb="6">
      <t>カク</t>
    </rPh>
    <phoneticPr fontId="2"/>
  </si>
  <si>
    <t>代価2</t>
  </si>
  <si>
    <t>未記入</t>
  </si>
  <si>
    <t>根切り (人力)</t>
  </si>
  <si>
    <t>人力根切り</t>
  </si>
  <si>
    <t>掘削量≦２０m3の場合</t>
  </si>
  <si>
    <t xml:space="preserve"> H=1200 根切共</t>
    <rPh sb="8" eb="9">
      <t>ネ</t>
    </rPh>
    <rPh sb="9" eb="10">
      <t>キリ</t>
    </rPh>
    <rPh sb="10" eb="11">
      <t>トモ</t>
    </rPh>
    <phoneticPr fontId="2"/>
  </si>
  <si>
    <t>埋戻し</t>
  </si>
  <si>
    <t>人力　締固め共</t>
  </si>
  <si>
    <t>標準</t>
  </si>
  <si>
    <t>残土積込費加算</t>
  </si>
  <si>
    <t>人力積込費</t>
  </si>
  <si>
    <t>残土処分費</t>
  </si>
  <si>
    <t>場外自由処分</t>
  </si>
  <si>
    <t>鉄筋 SD295A</t>
  </si>
  <si>
    <t>t</t>
  </si>
  <si>
    <t>鉄筋現場加工</t>
  </si>
  <si>
    <t>一般細物(D13以下)</t>
  </si>
  <si>
    <t>鉄筋組立</t>
  </si>
  <si>
    <t>RC造一般細物(D13以下)</t>
  </si>
  <si>
    <t>手練りコンクリ―ト</t>
  </si>
  <si>
    <t>練り手間含む</t>
  </si>
  <si>
    <t>打手間　　ｶｰﾄ打ち</t>
  </si>
  <si>
    <t>小型構造物</t>
  </si>
  <si>
    <t>型枠　普通型枠</t>
  </si>
  <si>
    <t>※サンプルのため、数量内容は</t>
    <rPh sb="9" eb="11">
      <t>スウリョウ</t>
    </rPh>
    <rPh sb="11" eb="13">
      <t>ナイヨウ</t>
    </rPh>
    <phoneticPr fontId="2"/>
  </si>
  <si>
    <t>　適当に記載してます。</t>
    <rPh sb="1" eb="3">
      <t>テキトウ</t>
    </rPh>
    <rPh sb="4" eb="6">
      <t>キサイ</t>
    </rPh>
    <phoneticPr fontId="2"/>
  </si>
  <si>
    <t>　撤去と新設が混在しても小運搬は</t>
    <rPh sb="1" eb="3">
      <t>テッキョ</t>
    </rPh>
    <rPh sb="4" eb="6">
      <t>シンセツ</t>
    </rPh>
    <rPh sb="7" eb="9">
      <t>コンザイ</t>
    </rPh>
    <rPh sb="12" eb="13">
      <t>ショウ</t>
    </rPh>
    <rPh sb="13" eb="15">
      <t>ウンパン</t>
    </rPh>
    <phoneticPr fontId="2"/>
  </si>
  <si>
    <t>　重量さえいれてあれば機能します</t>
    <rPh sb="1" eb="3">
      <t>ジュウリョウ</t>
    </rPh>
    <rPh sb="11" eb="13">
      <t>キノウ</t>
    </rPh>
    <phoneticPr fontId="2"/>
  </si>
  <si>
    <t>2層以下</t>
    <phoneticPr fontId="2"/>
  </si>
  <si>
    <t>m2</t>
    <phoneticPr fontId="2"/>
  </si>
  <si>
    <t>1,2階程度の転用率</t>
    <phoneticPr fontId="2"/>
  </si>
  <si>
    <t>箇所</t>
    <rPh sb="0" eb="2">
      <t>カショ</t>
    </rPh>
    <phoneticPr fontId="2"/>
  </si>
  <si>
    <t>Fc=27,sl=18</t>
  </si>
  <si>
    <t>---</t>
  </si>
  <si>
    <t>代価1</t>
    <phoneticPr fontId="2"/>
  </si>
  <si>
    <t>このページはメニューからページの削除で削除してから使用してください.</t>
    <phoneticPr fontId="2"/>
  </si>
  <si>
    <t>1:02:04</t>
    <phoneticPr fontId="2"/>
  </si>
  <si>
    <t>代価番号は、１から順に自動に割り振られます。</t>
    <rPh sb="0" eb="2">
      <t>ダイカ</t>
    </rPh>
    <rPh sb="2" eb="4">
      <t>バンゴウ</t>
    </rPh>
    <rPh sb="9" eb="10">
      <t>ジュン</t>
    </rPh>
    <rPh sb="11" eb="13">
      <t>ジドウ</t>
    </rPh>
    <rPh sb="14" eb="15">
      <t>ワ</t>
    </rPh>
    <rPh sb="16" eb="17">
      <t>フ</t>
    </rPh>
    <phoneticPr fontId="2"/>
  </si>
  <si>
    <t>シート保護されていますので、書式変更する場合は、「ツール」の「保護」からシート保護を解除してください。</t>
    <rPh sb="3" eb="5">
      <t>ホゴ</t>
    </rPh>
    <rPh sb="14" eb="16">
      <t>ショシキ</t>
    </rPh>
    <rPh sb="16" eb="18">
      <t>ヘンコウ</t>
    </rPh>
    <rPh sb="20" eb="22">
      <t>バアイ</t>
    </rPh>
    <rPh sb="31" eb="33">
      <t>ホゴ</t>
    </rPh>
    <rPh sb="39" eb="41">
      <t>ホゴ</t>
    </rPh>
    <rPh sb="42" eb="44">
      <t>カイジョ</t>
    </rPh>
    <phoneticPr fontId="2"/>
  </si>
  <si>
    <t>全項数</t>
    <rPh sb="0" eb="1">
      <t>ゼン</t>
    </rPh>
    <rPh sb="1" eb="2">
      <t>コウ</t>
    </rPh>
    <rPh sb="2" eb="3">
      <t>スウ</t>
    </rPh>
    <phoneticPr fontId="2"/>
  </si>
  <si>
    <t>cells(16,4)</t>
    <phoneticPr fontId="2"/>
  </si>
  <si>
    <t>変更点、新機能の紹介</t>
    <rPh sb="0" eb="3">
      <t>ヘンコウテン</t>
    </rPh>
    <rPh sb="4" eb="7">
      <t>シンキノウ</t>
    </rPh>
    <rPh sb="8" eb="10">
      <t>ショウカイ</t>
    </rPh>
    <phoneticPr fontId="2"/>
  </si>
  <si>
    <t>cells(18,4)</t>
    <phoneticPr fontId="2"/>
  </si>
  <si>
    <t>cells(19,4)</t>
    <phoneticPr fontId="2"/>
  </si>
  <si>
    <t>cells(25,4)</t>
    <phoneticPr fontId="2"/>
  </si>
  <si>
    <t>前回userform終了時のlistbox.fontサイズ</t>
    <rPh sb="0" eb="2">
      <t>ゼンカイ</t>
    </rPh>
    <rPh sb="10" eb="13">
      <t>シュウリョウジ</t>
    </rPh>
    <phoneticPr fontId="2"/>
  </si>
  <si>
    <t>前回userform終了時のlistbox.columWidth</t>
    <rPh sb="0" eb="2">
      <t>ゼンカイ</t>
    </rPh>
    <rPh sb="10" eb="13">
      <t>シュウリョウジ</t>
    </rPh>
    <phoneticPr fontId="2"/>
  </si>
  <si>
    <t>C045150150050170035035035035035035035</t>
    <phoneticPr fontId="2"/>
  </si>
  <si>
    <t>このファイルを初使用？(yes=1 no=0)</t>
    <rPh sb="7" eb="8">
      <t>ハツ</t>
    </rPh>
    <rPh sb="8" eb="10">
      <t>シヨウ</t>
    </rPh>
    <phoneticPr fontId="2"/>
  </si>
  <si>
    <t>cells(16,8)</t>
    <phoneticPr fontId="2"/>
  </si>
  <si>
    <t>見積業者：</t>
    <rPh sb="0" eb="2">
      <t>ミツモリ</t>
    </rPh>
    <rPh sb="2" eb="4">
      <t>ギョウシャ</t>
    </rPh>
    <phoneticPr fontId="2"/>
  </si>
  <si>
    <t>㈱</t>
    <phoneticPr fontId="2"/>
  </si>
  <si>
    <t>元　　設　　計</t>
    <rPh sb="0" eb="1">
      <t>モト</t>
    </rPh>
    <rPh sb="3" eb="4">
      <t>セツ</t>
    </rPh>
    <rPh sb="6" eb="7">
      <t>ケイ</t>
    </rPh>
    <phoneticPr fontId="2"/>
  </si>
  <si>
    <t>元設計当局単価</t>
    <rPh sb="0" eb="1">
      <t>モト</t>
    </rPh>
    <rPh sb="1" eb="3">
      <t>セッケイ</t>
    </rPh>
    <rPh sb="3" eb="5">
      <t>トウキョク</t>
    </rPh>
    <rPh sb="5" eb="7">
      <t>タンカ</t>
    </rPh>
    <phoneticPr fontId="2"/>
  </si>
  <si>
    <t>元設計今回業者見積</t>
    <rPh sb="0" eb="1">
      <t>モト</t>
    </rPh>
    <rPh sb="1" eb="3">
      <t>セッケイ</t>
    </rPh>
    <rPh sb="3" eb="5">
      <t>コンカイ</t>
    </rPh>
    <rPh sb="5" eb="7">
      <t>ギョウシャ</t>
    </rPh>
    <rPh sb="7" eb="9">
      <t>ミツモリ</t>
    </rPh>
    <phoneticPr fontId="2"/>
  </si>
  <si>
    <t>変更後今回業者見積</t>
    <rPh sb="0" eb="2">
      <t>ヘンコウ</t>
    </rPh>
    <rPh sb="2" eb="3">
      <t>ゴ</t>
    </rPh>
    <rPh sb="3" eb="5">
      <t>コンカイ</t>
    </rPh>
    <rPh sb="5" eb="7">
      <t>ギョウシャ</t>
    </rPh>
    <rPh sb="7" eb="9">
      <t>ミツモリ</t>
    </rPh>
    <phoneticPr fontId="2"/>
  </si>
  <si>
    <t>No</t>
    <phoneticPr fontId="2"/>
  </si>
  <si>
    <t>ｱｽﾌｧﾙﾄ</t>
  </si>
  <si>
    <t>木くず</t>
    <rPh sb="0" eb="1">
      <t>キ</t>
    </rPh>
    <phoneticPr fontId="2"/>
  </si>
  <si>
    <t>木くず
再生</t>
    <rPh sb="0" eb="1">
      <t>キ</t>
    </rPh>
    <rPh sb="4" eb="6">
      <t>サイセイ</t>
    </rPh>
    <phoneticPr fontId="2"/>
  </si>
  <si>
    <t>木くず
合板</t>
    <rPh sb="0" eb="1">
      <t>キ</t>
    </rPh>
    <rPh sb="4" eb="6">
      <t>ゴウハン</t>
    </rPh>
    <phoneticPr fontId="2"/>
  </si>
  <si>
    <t>石膏ボード</t>
    <rPh sb="0" eb="2">
      <t>セッコウ</t>
    </rPh>
    <phoneticPr fontId="2"/>
  </si>
  <si>
    <t>セメント板</t>
    <rPh sb="4" eb="5">
      <t>イタ</t>
    </rPh>
    <phoneticPr fontId="2"/>
  </si>
  <si>
    <t>家具・
備品</t>
    <rPh sb="0" eb="2">
      <t>カグ</t>
    </rPh>
    <rPh sb="4" eb="6">
      <t>ビヒン</t>
    </rPh>
    <phoneticPr fontId="2"/>
  </si>
  <si>
    <t>混合
廃棄物</t>
  </si>
  <si>
    <t>再生</t>
    <rPh sb="0" eb="2">
      <t>サイセイ</t>
    </rPh>
    <phoneticPr fontId="2"/>
  </si>
  <si>
    <t>合板</t>
    <rPh sb="0" eb="2">
      <t>ゴウハン</t>
    </rPh>
    <phoneticPr fontId="2"/>
  </si>
  <si>
    <t>陶磁器</t>
    <rPh sb="0" eb="3">
      <t>トウジキ</t>
    </rPh>
    <phoneticPr fontId="2"/>
  </si>
  <si>
    <t>繊維</t>
    <rPh sb="0" eb="2">
      <t>センイ</t>
    </rPh>
    <phoneticPr fontId="2"/>
  </si>
  <si>
    <t>石膏</t>
    <rPh sb="0" eb="2">
      <t>セッコウ</t>
    </rPh>
    <phoneticPr fontId="2"/>
  </si>
  <si>
    <t>家具・</t>
    <rPh sb="0" eb="2">
      <t>カグ</t>
    </rPh>
    <phoneticPr fontId="2"/>
  </si>
  <si>
    <t>備品</t>
    <rPh sb="0" eb="2">
      <t>ビヒン</t>
    </rPh>
    <phoneticPr fontId="2"/>
  </si>
  <si>
    <t>混合</t>
    <rPh sb="0" eb="2">
      <t>コンゴウ</t>
    </rPh>
    <phoneticPr fontId="2"/>
  </si>
  <si>
    <t>廃棄物</t>
    <rPh sb="0" eb="3">
      <t>ハイキブツ</t>
    </rPh>
    <phoneticPr fontId="2"/>
  </si>
  <si>
    <t>型枠　運搬費</t>
    <phoneticPr fontId="2"/>
  </si>
  <si>
    <t>木くず
再生</t>
  </si>
  <si>
    <t>木くず
合板</t>
  </si>
  <si>
    <t>石膏ボード</t>
  </si>
  <si>
    <t>セメント板</t>
  </si>
  <si>
    <t>家具・
備品</t>
  </si>
  <si>
    <t>合　計</t>
    <rPh sb="0" eb="1">
      <t>ゴウ</t>
    </rPh>
    <rPh sb="2" eb="3">
      <t>ケイ</t>
    </rPh>
    <phoneticPr fontId="2"/>
  </si>
  <si>
    <t>変更工事価格</t>
    <rPh sb="0" eb="2">
      <t>ヘンコウ</t>
    </rPh>
    <rPh sb="2" eb="4">
      <t>コウジ</t>
    </rPh>
    <rPh sb="4" eb="6">
      <t>カカク</t>
    </rPh>
    <phoneticPr fontId="2"/>
  </si>
  <si>
    <t>○○工事</t>
    <rPh sb="2" eb="4">
      <t>コウジ</t>
    </rPh>
    <phoneticPr fontId="2"/>
  </si>
  <si>
    <t>A:</t>
    <phoneticPr fontId="2"/>
  </si>
  <si>
    <t>B:</t>
    <phoneticPr fontId="2"/>
  </si>
  <si>
    <t>C:</t>
    <phoneticPr fontId="2"/>
  </si>
  <si>
    <t>ｺｰﾄﾞNo</t>
    <phoneticPr fontId="2"/>
  </si>
  <si>
    <t>金属工事   見積金額比較表</t>
    <rPh sb="0" eb="2">
      <t>キンゾク</t>
    </rPh>
    <phoneticPr fontId="2"/>
  </si>
  <si>
    <t>調整率＝＞</t>
    <rPh sb="0" eb="2">
      <t>チョウセイ</t>
    </rPh>
    <rPh sb="2" eb="3">
      <t>リツ</t>
    </rPh>
    <phoneticPr fontId="2"/>
  </si>
  <si>
    <t>ｺｰﾄﾞ</t>
  </si>
  <si>
    <t>作業</t>
  </si>
  <si>
    <t>運搬</t>
  </si>
  <si>
    <t>調整後単価</t>
    <rPh sb="0" eb="3">
      <t>チョウセイゴ</t>
    </rPh>
    <rPh sb="3" eb="4">
      <t>タン</t>
    </rPh>
    <rPh sb="4" eb="5">
      <t>アタイ</t>
    </rPh>
    <phoneticPr fontId="2"/>
  </si>
  <si>
    <t>（△印は減額）</t>
    <rPh sb="2" eb="3">
      <t>シルシ</t>
    </rPh>
    <rPh sb="4" eb="6">
      <t>ゲンガク</t>
    </rPh>
    <phoneticPr fontId="2"/>
  </si>
  <si>
    <t>作業時間</t>
  </si>
  <si>
    <t>名　　　　　　　　　　　称</t>
    <rPh sb="0" eb="1">
      <t>メイ</t>
    </rPh>
    <rPh sb="12" eb="13">
      <t>ショウ</t>
    </rPh>
    <phoneticPr fontId="2"/>
  </si>
  <si>
    <t>数　　　量</t>
    <rPh sb="0" eb="1">
      <t>カズ</t>
    </rPh>
    <rPh sb="4" eb="5">
      <t>リョウ</t>
    </rPh>
    <phoneticPr fontId="2"/>
  </si>
  <si>
    <t>単　　価</t>
    <rPh sb="0" eb="1">
      <t>タン</t>
    </rPh>
    <rPh sb="3" eb="4">
      <t>アタイ</t>
    </rPh>
    <phoneticPr fontId="2"/>
  </si>
  <si>
    <t>金　　　　　　　　額</t>
    <rPh sb="0" eb="1">
      <t>キン</t>
    </rPh>
    <rPh sb="9" eb="10">
      <t>ガク</t>
    </rPh>
    <phoneticPr fontId="2"/>
  </si>
  <si>
    <t>差引増減</t>
    <rPh sb="0" eb="2">
      <t>サシヒキ</t>
    </rPh>
    <rPh sb="2" eb="4">
      <t>ゾウゲン</t>
    </rPh>
    <phoneticPr fontId="2"/>
  </si>
  <si>
    <t>摘　　　　　　要</t>
    <rPh sb="0" eb="1">
      <t>チャク</t>
    </rPh>
    <rPh sb="7" eb="8">
      <t>ヨウ</t>
    </rPh>
    <phoneticPr fontId="2"/>
  </si>
  <si>
    <t>増</t>
    <rPh sb="0" eb="1">
      <t>ゾウ</t>
    </rPh>
    <phoneticPr fontId="2"/>
  </si>
  <si>
    <t>減</t>
    <rPh sb="0" eb="1">
      <t>ゲン</t>
    </rPh>
    <phoneticPr fontId="2"/>
  </si>
  <si>
    <t>既発注工事費</t>
    <rPh sb="0" eb="3">
      <t>キハッチュウ</t>
    </rPh>
    <rPh sb="3" eb="6">
      <t>コウジヒ</t>
    </rPh>
    <phoneticPr fontId="2"/>
  </si>
  <si>
    <t>今回工事費</t>
    <rPh sb="0" eb="2">
      <t>コンカイ</t>
    </rPh>
    <rPh sb="2" eb="5">
      <t>コウジヒ</t>
    </rPh>
    <phoneticPr fontId="2"/>
  </si>
  <si>
    <t>金　　　額</t>
    <rPh sb="0" eb="1">
      <t>キン</t>
    </rPh>
    <rPh sb="4" eb="5">
      <t>ガク</t>
    </rPh>
    <phoneticPr fontId="2"/>
  </si>
  <si>
    <t>共通費共</t>
    <rPh sb="0" eb="2">
      <t>キョウツウ</t>
    </rPh>
    <rPh sb="2" eb="3">
      <t>ヒ</t>
    </rPh>
    <rPh sb="3" eb="4">
      <t>トモ</t>
    </rPh>
    <phoneticPr fontId="2"/>
  </si>
  <si>
    <t>page</t>
    <phoneticPr fontId="2"/>
  </si>
  <si>
    <t>総内訳が２ﾍﾟｰｼﾞ以上になる場合、I２5ｾﾙに必要なﾍﾟｰｼﾞ数を記入。</t>
    <rPh sb="0" eb="1">
      <t>ソウ</t>
    </rPh>
    <rPh sb="1" eb="3">
      <t>ウチワケショ</t>
    </rPh>
    <rPh sb="10" eb="12">
      <t>イジョウ</t>
    </rPh>
    <rPh sb="15" eb="17">
      <t>バアイ</t>
    </rPh>
    <rPh sb="24" eb="26">
      <t>ヒツヨウ</t>
    </rPh>
    <rPh sb="32" eb="33">
      <t>スウ</t>
    </rPh>
    <rPh sb="34" eb="36">
      <t>キニュウ</t>
    </rPh>
    <phoneticPr fontId="2"/>
  </si>
  <si>
    <t>図面・仕様書どおり</t>
    <rPh sb="0" eb="2">
      <t>ズメン</t>
    </rPh>
    <rPh sb="3" eb="6">
      <t>シヨウショ</t>
    </rPh>
    <phoneticPr fontId="2"/>
  </si>
  <si>
    <t>材料運搬重量</t>
    <rPh sb="0" eb="2">
      <t>ザイリョウ</t>
    </rPh>
    <rPh sb="2" eb="4">
      <t>ウンパン</t>
    </rPh>
    <rPh sb="4" eb="6">
      <t>ジュウリョウ</t>
    </rPh>
    <phoneticPr fontId="2"/>
  </si>
  <si>
    <t>ｺﾝｸﾘｰﾄ</t>
    <phoneticPr fontId="2"/>
  </si>
  <si>
    <t>廃プラ</t>
    <phoneticPr fontId="2"/>
  </si>
  <si>
    <t>がれき</t>
    <phoneticPr fontId="2"/>
  </si>
  <si>
    <t>廃プラ
(ｱｽﾍﾞ)</t>
    <phoneticPr fontId="2"/>
  </si>
  <si>
    <t>積込加算(ｽｸﾗｯﾌﾟ含む)</t>
  </si>
  <si>
    <t>残材車両積載重量</t>
  </si>
  <si>
    <t>残材車両積載重量(ｽｸﾗｯﾌﾟ)</t>
  </si>
  <si>
    <t>残材運搬車両積載重量(ｽｸﾗｯﾌﾟ)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</si>
  <si>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ボード</t>
    <phoneticPr fontId="2"/>
  </si>
  <si>
    <t>　ト板</t>
    <phoneticPr fontId="2"/>
  </si>
  <si>
    <t>(ｱｽﾍﾞ)</t>
    <phoneticPr fontId="2"/>
  </si>
  <si>
    <t>EOL2</t>
    <phoneticPr fontId="2"/>
  </si>
  <si>
    <t>廃プラ(ｱｽﾍﾞ)</t>
    <phoneticPr fontId="2"/>
  </si>
  <si>
    <t>4.00β</t>
  </si>
  <si>
    <t>元設計類似</t>
    <rPh sb="0" eb="1">
      <t>モト</t>
    </rPh>
    <rPh sb="1" eb="3">
      <t>セッケイ</t>
    </rPh>
    <rPh sb="3" eb="5">
      <t>ルイジ</t>
    </rPh>
    <phoneticPr fontId="2"/>
  </si>
  <si>
    <t>変更後今回見積業者</t>
    <rPh sb="0" eb="2">
      <t>ヘンコウ</t>
    </rPh>
    <rPh sb="2" eb="3">
      <t>ゴ</t>
    </rPh>
    <rPh sb="3" eb="5">
      <t>コンカイ</t>
    </rPh>
    <rPh sb="5" eb="7">
      <t>ミツモリ</t>
    </rPh>
    <rPh sb="7" eb="9">
      <t>ギョウシャ</t>
    </rPh>
    <phoneticPr fontId="2"/>
  </si>
  <si>
    <t>差引金額</t>
    <rPh sb="0" eb="2">
      <t>サシヒキ</t>
    </rPh>
    <rPh sb="2" eb="4">
      <t>キンガク</t>
    </rPh>
    <phoneticPr fontId="2"/>
  </si>
  <si>
    <t>類似単価</t>
    <rPh sb="0" eb="2">
      <t>ルイジ</t>
    </rPh>
    <rPh sb="2" eb="4">
      <t>タンカ</t>
    </rPh>
    <phoneticPr fontId="2"/>
  </si>
  <si>
    <t>計</t>
    <rPh sb="0" eb="1">
      <t>ケイ</t>
    </rPh>
    <phoneticPr fontId="2"/>
  </si>
  <si>
    <t>変　　更　　後</t>
    <phoneticPr fontId="2"/>
  </si>
  <si>
    <t>前ﾍﾟｰｼﾞから続きの場合「１」を入力　→</t>
    <phoneticPr fontId="2"/>
  </si>
  <si>
    <t>累計</t>
    <rPh sb="0" eb="2">
      <t>ルイケイケイ</t>
    </rPh>
    <phoneticPr fontId="2"/>
  </si>
  <si>
    <t>累計</t>
    <rPh sb="0" eb="1">
      <t>ルイ</t>
    </rPh>
    <rPh sb="1" eb="2">
      <t>ケイ</t>
    </rPh>
    <phoneticPr fontId="2"/>
  </si>
  <si>
    <t>1A</t>
    <phoneticPr fontId="2"/>
  </si>
  <si>
    <t>2A</t>
    <phoneticPr fontId="2"/>
  </si>
  <si>
    <t>3A</t>
    <phoneticPr fontId="2"/>
  </si>
  <si>
    <t>4A</t>
    <phoneticPr fontId="2"/>
  </si>
  <si>
    <t>小運搬重量（材料＋残材）</t>
    <phoneticPr fontId="2"/>
  </si>
  <si>
    <t>材料運搬重量</t>
    <phoneticPr fontId="2"/>
  </si>
  <si>
    <t>残材小運搬重量</t>
    <phoneticPr fontId="2"/>
  </si>
  <si>
    <t>残材車両積載重量（ｱｽﾍﾞｽﾄ）</t>
    <rPh sb="0" eb="2">
      <t>ザンザイ</t>
    </rPh>
    <rPh sb="2" eb="4">
      <t>シャリョウ</t>
    </rPh>
    <rPh sb="4" eb="6">
      <t>セキサイ</t>
    </rPh>
    <rPh sb="6" eb="8">
      <t>ジュウリョウ</t>
    </rPh>
    <phoneticPr fontId="2"/>
  </si>
  <si>
    <t>残材小運搬重量(全て含む)</t>
    <rPh sb="0" eb="1">
      <t>ザン</t>
    </rPh>
    <rPh sb="1" eb="2">
      <t>ザイ</t>
    </rPh>
    <rPh sb="2" eb="3">
      <t>コ</t>
    </rPh>
    <rPh sb="3" eb="5">
      <t>ウンパン</t>
    </rPh>
    <rPh sb="5" eb="7">
      <t>ジュウリョウ</t>
    </rPh>
    <rPh sb="8" eb="9">
      <t>スベ</t>
    </rPh>
    <phoneticPr fontId="2"/>
  </si>
  <si>
    <t>残材運搬車両積載重量(ｽｸﾗｯﾌﾟ・ｱｽﾍﾞ除く)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rPh sb="22" eb="23">
      <t>ノゾ</t>
    </rPh>
    <phoneticPr fontId="2"/>
  </si>
  <si>
    <t>残材運搬車両積載重量(ｱｽﾍﾞｽﾄ)</t>
    <rPh sb="0" eb="1">
      <t>ザン</t>
    </rPh>
    <rPh sb="1" eb="2">
      <t>ザイ</t>
    </rPh>
    <rPh sb="2" eb="4">
      <t>ウンパン</t>
    </rPh>
    <rPh sb="4" eb="6">
      <t>シャリョウ</t>
    </rPh>
    <rPh sb="6" eb="8">
      <t>セキサイ</t>
    </rPh>
    <rPh sb="8" eb="10">
      <t>ジュウリョウ</t>
    </rPh>
    <phoneticPr fontId="2"/>
  </si>
  <si>
    <t>ｱｽﾍﾞ重量</t>
    <rPh sb="4" eb="6">
      <t>ジュウリョウ</t>
    </rPh>
    <phoneticPr fontId="2"/>
  </si>
  <si>
    <t>total　</t>
    <phoneticPr fontId="2"/>
  </si>
  <si>
    <t>==&gt;&gt;</t>
    <phoneticPr fontId="2"/>
  </si>
  <si>
    <t>EOL1</t>
    <phoneticPr fontId="2"/>
  </si>
  <si>
    <t>スクラップ</t>
    <phoneticPr fontId="2"/>
  </si>
  <si>
    <t>ｺﾝｸﾘｰﾄ</t>
    <phoneticPr fontId="2"/>
  </si>
  <si>
    <t>ｱｽﾌｧﾙﾄ</t>
    <phoneticPr fontId="2"/>
  </si>
  <si>
    <t>廃プラ</t>
    <phoneticPr fontId="2"/>
  </si>
  <si>
    <t>ガラス</t>
    <phoneticPr fontId="2"/>
  </si>
  <si>
    <t>セメン</t>
    <phoneticPr fontId="2"/>
  </si>
  <si>
    <t>ｱﾙﾐ</t>
    <phoneticPr fontId="2"/>
  </si>
  <si>
    <t>くず</t>
    <phoneticPr fontId="2"/>
  </si>
  <si>
    <t>（ｱｽﾍﾞ）</t>
    <phoneticPr fontId="2"/>
  </si>
  <si>
    <t>がれき</t>
    <phoneticPr fontId="2"/>
  </si>
  <si>
    <t>廃プラ
(ｱｽﾍﾞ)</t>
    <phoneticPr fontId="2"/>
  </si>
  <si>
    <t>石膏ボード（ｱｽﾍﾞ）</t>
    <rPh sb="0" eb="2">
      <t>セッコウ</t>
    </rPh>
    <phoneticPr fontId="2"/>
  </si>
  <si>
    <t>セメント板　　　（ｱｽﾍﾞ）</t>
    <rPh sb="4" eb="5">
      <t>バン</t>
    </rPh>
    <phoneticPr fontId="2"/>
  </si>
  <si>
    <t>ｽﾃﾝﾚｽ</t>
    <phoneticPr fontId="2"/>
  </si>
  <si>
    <t>アルミ</t>
    <phoneticPr fontId="2"/>
  </si>
  <si>
    <t>　　　　　　　　　　設　計　変　更　工　事　費　内　訳　書</t>
    <rPh sb="10" eb="11">
      <t>セツ</t>
    </rPh>
    <rPh sb="12" eb="13">
      <t>ケイ</t>
    </rPh>
    <rPh sb="14" eb="15">
      <t>ヘン</t>
    </rPh>
    <rPh sb="16" eb="17">
      <t>サラ</t>
    </rPh>
    <rPh sb="18" eb="19">
      <t>タクミ</t>
    </rPh>
    <rPh sb="20" eb="21">
      <t>コト</t>
    </rPh>
    <rPh sb="22" eb="23">
      <t>ヒ</t>
    </rPh>
    <rPh sb="24" eb="25">
      <t>ウチ</t>
    </rPh>
    <rPh sb="26" eb="27">
      <t>ヤク</t>
    </rPh>
    <rPh sb="28" eb="29">
      <t>ショ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</si>
  <si>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0" eb="11">
      <t>コト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</si>
  <si>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ヤク</t>
    </rPh>
    <phoneticPr fontId="2"/>
  </si>
  <si>
    <t>設　計　変　更　工　事　費　内　訳　書</t>
    <rPh sb="0" eb="1">
      <t>セツ</t>
    </rPh>
    <rPh sb="2" eb="3">
      <t>ケイ</t>
    </rPh>
    <rPh sb="4" eb="5">
      <t>ヘン</t>
    </rPh>
    <rPh sb="6" eb="7">
      <t>サラ</t>
    </rPh>
    <rPh sb="8" eb="9">
      <t>コウ</t>
    </rPh>
    <rPh sb="12" eb="13">
      <t>ヒ</t>
    </rPh>
    <rPh sb="14" eb="15">
      <t>ウチ</t>
    </rPh>
    <rPh sb="16" eb="17">
      <t>ワケ</t>
    </rPh>
    <rPh sb="18" eb="19">
      <t>ショ</t>
    </rPh>
    <phoneticPr fontId="2"/>
  </si>
  <si>
    <t>内訳書決裁欄</t>
    <rPh sb="0" eb="3">
      <t>ウチワケショ</t>
    </rPh>
    <rPh sb="3" eb="5">
      <t>ケッサイ</t>
    </rPh>
    <rPh sb="5" eb="6">
      <t>ラン</t>
    </rPh>
    <phoneticPr fontId="2"/>
  </si>
  <si>
    <t>建築資産管理担当</t>
    <rPh sb="0" eb="2">
      <t>ケンチク</t>
    </rPh>
    <rPh sb="2" eb="4">
      <t>シサン</t>
    </rPh>
    <rPh sb="4" eb="6">
      <t>カンリ</t>
    </rPh>
    <rPh sb="6" eb="8">
      <t>タントウ</t>
    </rPh>
    <phoneticPr fontId="2"/>
  </si>
  <si>
    <t>建築課長</t>
    <rPh sb="0" eb="2">
      <t>ケンチク</t>
    </rPh>
    <rPh sb="2" eb="4">
      <t>カチョウ</t>
    </rPh>
    <phoneticPr fontId="2"/>
  </si>
  <si>
    <t>係員</t>
    <rPh sb="0" eb="2">
      <t>カカリイン</t>
    </rPh>
    <phoneticPr fontId="2"/>
  </si>
  <si>
    <t>係長</t>
    <rPh sb="0" eb="2">
      <t>カカリチョウ</t>
    </rPh>
    <phoneticPr fontId="2"/>
  </si>
  <si>
    <t>単価台帳ver</t>
    <rPh sb="0" eb="2">
      <t>タンカ</t>
    </rPh>
    <rPh sb="2" eb="4">
      <t>ダイチョウ</t>
    </rPh>
    <phoneticPr fontId="2"/>
  </si>
  <si>
    <t>工事稟議番号</t>
    <rPh sb="0" eb="2">
      <t>コウジ</t>
    </rPh>
    <rPh sb="2" eb="4">
      <t>リンギ</t>
    </rPh>
    <rPh sb="4" eb="6">
      <t>バンゴウ</t>
    </rPh>
    <phoneticPr fontId="2"/>
  </si>
  <si>
    <t>明細コード</t>
    <rPh sb="0" eb="2">
      <t>メイサイ</t>
    </rPh>
    <phoneticPr fontId="2"/>
  </si>
  <si>
    <t>内訳書決裁日</t>
    <rPh sb="0" eb="3">
      <t>ウチワケショ</t>
    </rPh>
    <rPh sb="3" eb="5">
      <t>ケッサイ</t>
    </rPh>
    <rPh sb="5" eb="6">
      <t>ヒ</t>
    </rPh>
    <phoneticPr fontId="2"/>
  </si>
  <si>
    <t>工事担当係長</t>
    <rPh sb="0" eb="2">
      <t>コウジ</t>
    </rPh>
    <rPh sb="2" eb="4">
      <t>タントウ</t>
    </rPh>
    <rPh sb="4" eb="6">
      <t>カカリチョウ</t>
    </rPh>
    <phoneticPr fontId="2"/>
  </si>
  <si>
    <t>工事担当者</t>
    <rPh sb="0" eb="2">
      <t>コウジ</t>
    </rPh>
    <rPh sb="2" eb="5">
      <t>タントウシャ</t>
    </rPh>
    <phoneticPr fontId="2"/>
  </si>
  <si>
    <t>明細情報</t>
    <rPh sb="0" eb="2">
      <t>メイサイ</t>
    </rPh>
    <rPh sb="2" eb="4">
      <t>ジョウホウ</t>
    </rPh>
    <phoneticPr fontId="2"/>
  </si>
  <si>
    <t>標準単価金額無2018.xls</t>
    <phoneticPr fontId="2"/>
  </si>
  <si>
    <t>標準単価2018.xls</t>
    <phoneticPr fontId="2"/>
  </si>
  <si>
    <t>このシートのページ数を変更したい場合は、必要ページ数を入力↓</t>
    <rPh sb="9" eb="10">
      <t>スウ</t>
    </rPh>
    <rPh sb="11" eb="13">
      <t>ヘンコウ</t>
    </rPh>
    <rPh sb="16" eb="18">
      <t>バアイ</t>
    </rPh>
    <rPh sb="20" eb="22">
      <t>ヒツヨウ</t>
    </rPh>
    <rPh sb="25" eb="26">
      <t>スウ</t>
    </rPh>
    <rPh sb="27" eb="29">
      <t>ニュウリョク</t>
    </rPh>
    <phoneticPr fontId="2"/>
  </si>
  <si>
    <t>内装仕上げ工事</t>
    <rPh sb="0" eb="2">
      <t>ナイソウ</t>
    </rPh>
    <rPh sb="2" eb="4">
      <t>シア</t>
    </rPh>
    <rPh sb="5" eb="7">
      <t>コウジ</t>
    </rPh>
    <phoneticPr fontId="2"/>
  </si>
  <si>
    <t>建具工事</t>
    <rPh sb="0" eb="2">
      <t>タテグ</t>
    </rPh>
    <rPh sb="2" eb="4">
      <t>コウジ</t>
    </rPh>
    <phoneticPr fontId="2"/>
  </si>
  <si>
    <t>資産管理明細書</t>
    <rPh sb="0" eb="2">
      <t>シサン</t>
    </rPh>
    <rPh sb="2" eb="4">
      <t>カンリ</t>
    </rPh>
    <rPh sb="4" eb="7">
      <t>メイサイショ</t>
    </rPh>
    <phoneticPr fontId="2"/>
  </si>
  <si>
    <t>事業案
稟議番号</t>
    <rPh sb="0" eb="2">
      <t>ジギョウ</t>
    </rPh>
    <rPh sb="2" eb="3">
      <t>アン</t>
    </rPh>
    <rPh sb="4" eb="6">
      <t>リンギ</t>
    </rPh>
    <rPh sb="6" eb="8">
      <t>バンゴウ</t>
    </rPh>
    <phoneticPr fontId="2"/>
  </si>
  <si>
    <t>プロジェクトコード</t>
    <phoneticPr fontId="2"/>
  </si>
  <si>
    <t>番号</t>
    <rPh sb="0" eb="2">
      <t>バンゴウ</t>
    </rPh>
    <phoneticPr fontId="2"/>
  </si>
  <si>
    <t>費目名称
工事種別名称</t>
    <rPh sb="0" eb="2">
      <t>ヒモク</t>
    </rPh>
    <rPh sb="2" eb="4">
      <t>メイショウ</t>
    </rPh>
    <rPh sb="5" eb="7">
      <t>コウジ</t>
    </rPh>
    <rPh sb="7" eb="9">
      <t>シュベツ</t>
    </rPh>
    <rPh sb="9" eb="11">
      <t>メイショウ</t>
    </rPh>
    <phoneticPr fontId="2"/>
  </si>
  <si>
    <t>資産名称</t>
    <rPh sb="0" eb="2">
      <t>シサン</t>
    </rPh>
    <rPh sb="2" eb="4">
      <t>メイショウ</t>
    </rPh>
    <phoneticPr fontId="2"/>
  </si>
  <si>
    <t>財務分類</t>
    <rPh sb="0" eb="2">
      <t>ザイム</t>
    </rPh>
    <rPh sb="2" eb="4">
      <t>ブンルイ</t>
    </rPh>
    <phoneticPr fontId="2"/>
  </si>
  <si>
    <t>予算掌理部</t>
    <rPh sb="0" eb="2">
      <t>ヨサン</t>
    </rPh>
    <rPh sb="2" eb="4">
      <t>ショウリ</t>
    </rPh>
    <rPh sb="4" eb="5">
      <t>ブ</t>
    </rPh>
    <phoneticPr fontId="2"/>
  </si>
  <si>
    <t>1</t>
  </si>
  <si>
    <t>経営戦略・グループ戦略部</t>
    <rPh sb="0" eb="2">
      <t>ケイエイ</t>
    </rPh>
    <rPh sb="2" eb="4">
      <t>センリャク</t>
    </rPh>
    <rPh sb="9" eb="11">
      <t>センリャク</t>
    </rPh>
    <rPh sb="11" eb="12">
      <t>ブ</t>
    </rPh>
    <phoneticPr fontId="38"/>
  </si>
  <si>
    <t>2</t>
  </si>
  <si>
    <t>新規事業開発部</t>
    <rPh sb="0" eb="2">
      <t>シンキ</t>
    </rPh>
    <rPh sb="2" eb="4">
      <t>ジギョウ</t>
    </rPh>
    <rPh sb="4" eb="7">
      <t>カイハツブ</t>
    </rPh>
    <phoneticPr fontId="38"/>
  </si>
  <si>
    <t>3</t>
  </si>
  <si>
    <t>総務部</t>
  </si>
  <si>
    <t>4</t>
  </si>
  <si>
    <t>財務部</t>
  </si>
  <si>
    <t>5</t>
  </si>
  <si>
    <t>調達部</t>
  </si>
  <si>
    <t>7</t>
  </si>
  <si>
    <t>駅務部</t>
    <rPh sb="0" eb="2">
      <t>エキム</t>
    </rPh>
    <rPh sb="2" eb="3">
      <t>ブ</t>
    </rPh>
    <phoneticPr fontId="38"/>
  </si>
  <si>
    <t>8</t>
  </si>
  <si>
    <t>運転部</t>
  </si>
  <si>
    <t>9</t>
  </si>
  <si>
    <t>営業部</t>
  </si>
  <si>
    <t>A</t>
  </si>
  <si>
    <t>電気部</t>
    <rPh sb="0" eb="2">
      <t>デンキ</t>
    </rPh>
    <rPh sb="2" eb="3">
      <t>ブ</t>
    </rPh>
    <phoneticPr fontId="38"/>
  </si>
  <si>
    <t>B</t>
  </si>
  <si>
    <t>車両部</t>
    <rPh sb="0" eb="2">
      <t>シャリョウ</t>
    </rPh>
    <rPh sb="2" eb="3">
      <t>ブ</t>
    </rPh>
    <phoneticPr fontId="38"/>
  </si>
  <si>
    <t>C</t>
  </si>
  <si>
    <t>工務部</t>
    <rPh sb="0" eb="2">
      <t>コウム</t>
    </rPh>
    <rPh sb="2" eb="3">
      <t>ブ</t>
    </rPh>
    <phoneticPr fontId="38"/>
  </si>
  <si>
    <t>D</t>
  </si>
  <si>
    <t>建築部</t>
    <rPh sb="0" eb="2">
      <t>ケンチク</t>
    </rPh>
    <rPh sb="2" eb="3">
      <t>ブ</t>
    </rPh>
    <phoneticPr fontId="38"/>
  </si>
  <si>
    <t>E</t>
  </si>
  <si>
    <t>安全推進室</t>
    <rPh sb="0" eb="4">
      <t>アンゼンスイシン</t>
    </rPh>
    <rPh sb="4" eb="5">
      <t>シツ</t>
    </rPh>
    <phoneticPr fontId="42"/>
  </si>
  <si>
    <t>F</t>
  </si>
  <si>
    <t>監査室</t>
    <rPh sb="0" eb="2">
      <t>カンサ</t>
    </rPh>
    <rPh sb="2" eb="3">
      <t>シツ</t>
    </rPh>
    <phoneticPr fontId="38"/>
  </si>
  <si>
    <t>G</t>
  </si>
  <si>
    <t>人事部</t>
    <rPh sb="0" eb="2">
      <t>ジンジ</t>
    </rPh>
    <rPh sb="2" eb="3">
      <t>ブ</t>
    </rPh>
    <phoneticPr fontId="38"/>
  </si>
  <si>
    <t>H</t>
  </si>
  <si>
    <t>監査役室</t>
  </si>
  <si>
    <t>【資産区分】
空白の場合は
建物-鉄コン造で計上</t>
    <rPh sb="1" eb="3">
      <t>シサン</t>
    </rPh>
    <rPh sb="3" eb="5">
      <t>クブン</t>
    </rPh>
    <rPh sb="7" eb="9">
      <t>クウハク</t>
    </rPh>
    <rPh sb="10" eb="12">
      <t>バアイ</t>
    </rPh>
    <rPh sb="14" eb="16">
      <t>タテモノ</t>
    </rPh>
    <rPh sb="17" eb="18">
      <t>テツ</t>
    </rPh>
    <rPh sb="20" eb="21">
      <t>ツク</t>
    </rPh>
    <rPh sb="22" eb="24">
      <t>ケイジョウ</t>
    </rPh>
    <phoneticPr fontId="2"/>
  </si>
  <si>
    <t>【資産区分】
空白の場合は
建物-鉄コン造で計上</t>
    <phoneticPr fontId="2"/>
  </si>
  <si>
    <t>資　産　ク　ラ　ス　分　割　表</t>
    <rPh sb="0" eb="1">
      <t>シ</t>
    </rPh>
    <rPh sb="2" eb="3">
      <t>サン</t>
    </rPh>
    <rPh sb="10" eb="11">
      <t>ブン</t>
    </rPh>
    <rPh sb="12" eb="13">
      <t>ワリ</t>
    </rPh>
    <rPh sb="14" eb="15">
      <t>ヒョウ</t>
    </rPh>
    <phoneticPr fontId="2"/>
  </si>
  <si>
    <t>計上区分　資産or費用を選択⇒</t>
    <rPh sb="0" eb="2">
      <t>ケイジョウ</t>
    </rPh>
    <rPh sb="2" eb="4">
      <t>クブン</t>
    </rPh>
    <rPh sb="5" eb="7">
      <t>シサン</t>
    </rPh>
    <rPh sb="9" eb="11">
      <t>ヒヨウ</t>
    </rPh>
    <rPh sb="12" eb="14">
      <t>センタク</t>
    </rPh>
    <phoneticPr fontId="2"/>
  </si>
  <si>
    <t>資産</t>
  </si>
  <si>
    <t>直接工事費</t>
    <rPh sb="0" eb="2">
      <t>チョクセツ</t>
    </rPh>
    <rPh sb="2" eb="5">
      <t>コウジヒ</t>
    </rPh>
    <phoneticPr fontId="2"/>
  </si>
  <si>
    <t>直接仮設費</t>
    <rPh sb="0" eb="2">
      <t>チョクセツ</t>
    </rPh>
    <rPh sb="2" eb="4">
      <t>カセツ</t>
    </rPh>
    <rPh sb="4" eb="5">
      <t>ヒ</t>
    </rPh>
    <phoneticPr fontId="2"/>
  </si>
  <si>
    <t>部分撤去工事</t>
    <rPh sb="0" eb="2">
      <t>ブブン</t>
    </rPh>
    <rPh sb="2" eb="4">
      <t>テッキョ</t>
    </rPh>
    <rPh sb="4" eb="6">
      <t>コウジ</t>
    </rPh>
    <phoneticPr fontId="2"/>
  </si>
  <si>
    <t>直接仮設及び部分撤去工事を除く直接工事費</t>
    <rPh sb="0" eb="2">
      <t>チョクセツ</t>
    </rPh>
    <rPh sb="2" eb="4">
      <t>カセツ</t>
    </rPh>
    <rPh sb="4" eb="5">
      <t>オヨ</t>
    </rPh>
    <rPh sb="6" eb="8">
      <t>ブブン</t>
    </rPh>
    <rPh sb="8" eb="10">
      <t>テッキョ</t>
    </rPh>
    <rPh sb="10" eb="12">
      <t>コウジ</t>
    </rPh>
    <rPh sb="13" eb="14">
      <t>ノゾ</t>
    </rPh>
    <rPh sb="15" eb="17">
      <t>チョクセツ</t>
    </rPh>
    <rPh sb="17" eb="19">
      <t>コウジ</t>
    </rPh>
    <rPh sb="19" eb="20">
      <t>ヒ</t>
    </rPh>
    <phoneticPr fontId="2"/>
  </si>
  <si>
    <t>資産</t>
    <rPh sb="0" eb="2">
      <t>シサン</t>
    </rPh>
    <phoneticPr fontId="2"/>
  </si>
  <si>
    <t>うち部分撤去工事</t>
    <rPh sb="2" eb="4">
      <t>ブブン</t>
    </rPh>
    <rPh sb="4" eb="6">
      <t>テッキョ</t>
    </rPh>
    <rPh sb="6" eb="8">
      <t>コウジ</t>
    </rPh>
    <phoneticPr fontId="2"/>
  </si>
  <si>
    <t>費用</t>
    <rPh sb="0" eb="2">
      <t>ヒヨウ</t>
    </rPh>
    <phoneticPr fontId="2"/>
  </si>
  <si>
    <t>共通費</t>
    <rPh sb="0" eb="2">
      <t>キョウツウ</t>
    </rPh>
    <rPh sb="2" eb="3">
      <t>ヒ</t>
    </rPh>
    <phoneticPr fontId="2"/>
  </si>
  <si>
    <t>　　うち、共通仮設費 　</t>
    <rPh sb="5" eb="7">
      <t>キョウツウ</t>
    </rPh>
    <rPh sb="7" eb="9">
      <t>カセツ</t>
    </rPh>
    <rPh sb="9" eb="10">
      <t>ヒ</t>
    </rPh>
    <phoneticPr fontId="2"/>
  </si>
  <si>
    <t xml:space="preserve">　　うち、現場管理費　 </t>
    <rPh sb="5" eb="7">
      <t>ゲンバ</t>
    </rPh>
    <rPh sb="7" eb="10">
      <t>カンリヒ</t>
    </rPh>
    <phoneticPr fontId="2"/>
  </si>
  <si>
    <t>　　うち、一般管理費等</t>
    <rPh sb="5" eb="7">
      <t>イッパン</t>
    </rPh>
    <rPh sb="7" eb="10">
      <t>カンリヒ</t>
    </rPh>
    <rPh sb="10" eb="11">
      <t>トウ</t>
    </rPh>
    <phoneticPr fontId="2"/>
  </si>
  <si>
    <t>工事価格</t>
    <rPh sb="0" eb="2">
      <t>コウジ</t>
    </rPh>
    <rPh sb="2" eb="4">
      <t>カカク</t>
    </rPh>
    <phoneticPr fontId="2"/>
  </si>
  <si>
    <t>０５建物　直接工事費</t>
    <rPh sb="2" eb="4">
      <t>タテモノ</t>
    </rPh>
    <rPh sb="5" eb="7">
      <t>チョクセツ</t>
    </rPh>
    <rPh sb="7" eb="10">
      <t>コウジヒ</t>
    </rPh>
    <phoneticPr fontId="2"/>
  </si>
  <si>
    <t>耐用年数</t>
    <rPh sb="0" eb="2">
      <t>タイヨウ</t>
    </rPh>
    <rPh sb="2" eb="4">
      <t>ネンスウ</t>
    </rPh>
    <phoneticPr fontId="2"/>
  </si>
  <si>
    <t>勘定科目「項」--&gt;</t>
    <rPh sb="5" eb="6">
      <t>コウ</t>
    </rPh>
    <phoneticPr fontId="2"/>
  </si>
  <si>
    <t>05建物</t>
    <rPh sb="2" eb="4">
      <t>タテモノ</t>
    </rPh>
    <phoneticPr fontId="2"/>
  </si>
  <si>
    <t>（直接仮設・部分撤去・費用を除く）</t>
    <phoneticPr fontId="2"/>
  </si>
  <si>
    <t>勘定科目「目」を選択--&gt;</t>
    <rPh sb="5" eb="6">
      <t>モク</t>
    </rPh>
    <phoneticPr fontId="2"/>
  </si>
  <si>
    <t>007停車場建物</t>
  </si>
  <si>
    <t>01</t>
    <phoneticPr fontId="2"/>
  </si>
  <si>
    <t>建築仕上げ</t>
    <rPh sb="0" eb="2">
      <t>ケンチク</t>
    </rPh>
    <rPh sb="2" eb="4">
      <t>シア</t>
    </rPh>
    <phoneticPr fontId="2"/>
  </si>
  <si>
    <t>鉄コン造</t>
    <phoneticPr fontId="2"/>
  </si>
  <si>
    <t>02</t>
    <phoneticPr fontId="2"/>
  </si>
  <si>
    <t>れんが石ブロック造</t>
    <phoneticPr fontId="2"/>
  </si>
  <si>
    <t>03</t>
    <phoneticPr fontId="2"/>
  </si>
  <si>
    <t>金属造(4mm超)</t>
    <phoneticPr fontId="2"/>
  </si>
  <si>
    <t>04</t>
    <phoneticPr fontId="2"/>
  </si>
  <si>
    <t>金属造(3mm超4mm以下)</t>
    <phoneticPr fontId="2"/>
  </si>
  <si>
    <t>05</t>
    <phoneticPr fontId="2"/>
  </si>
  <si>
    <t>金属造(肉厚が3mm以下)</t>
    <phoneticPr fontId="2"/>
  </si>
  <si>
    <t>06</t>
    <phoneticPr fontId="2"/>
  </si>
  <si>
    <t>木造又は合成樹脂造</t>
    <phoneticPr fontId="2"/>
  </si>
  <si>
    <t>07</t>
    <phoneticPr fontId="2"/>
  </si>
  <si>
    <t>木骨モルタル造</t>
    <phoneticPr fontId="2"/>
  </si>
  <si>
    <t>08</t>
    <phoneticPr fontId="2"/>
  </si>
  <si>
    <t>簡易建物(木製主要柱10cm角以下)</t>
    <phoneticPr fontId="2"/>
  </si>
  <si>
    <t>09</t>
    <phoneticPr fontId="2"/>
  </si>
  <si>
    <t>簡易建物(掘立造　仮設のもの)</t>
    <phoneticPr fontId="2"/>
  </si>
  <si>
    <t>10</t>
    <phoneticPr fontId="2"/>
  </si>
  <si>
    <t>当該課確認</t>
    <rPh sb="0" eb="2">
      <t>トウガイ</t>
    </rPh>
    <rPh sb="2" eb="3">
      <t>カ</t>
    </rPh>
    <rPh sb="3" eb="5">
      <t>カクニン</t>
    </rPh>
    <phoneticPr fontId="2"/>
  </si>
  <si>
    <t>電気設備(照明設備を含む)-蓄電池電源設備</t>
    <phoneticPr fontId="2"/>
  </si>
  <si>
    <t>11</t>
    <phoneticPr fontId="2"/>
  </si>
  <si>
    <t>電気設備(照明設備を含む)-その他のもの</t>
    <phoneticPr fontId="2"/>
  </si>
  <si>
    <t>12</t>
    <phoneticPr fontId="2"/>
  </si>
  <si>
    <t>給排水又は衛生設備及びガス設備</t>
    <phoneticPr fontId="2"/>
  </si>
  <si>
    <t>13</t>
    <phoneticPr fontId="2"/>
  </si>
  <si>
    <t>冷暖房・通風・ボイラー設備-22kw以下</t>
    <phoneticPr fontId="2"/>
  </si>
  <si>
    <t>14</t>
    <phoneticPr fontId="2"/>
  </si>
  <si>
    <t>冷暖房・通風・ボイラー設備-その他のもの</t>
    <phoneticPr fontId="2"/>
  </si>
  <si>
    <t>15</t>
    <phoneticPr fontId="2"/>
  </si>
  <si>
    <t>昇降機設備-エレベーター</t>
    <phoneticPr fontId="2"/>
  </si>
  <si>
    <t>16</t>
    <phoneticPr fontId="2"/>
  </si>
  <si>
    <t>昇降機設備-エスカレーター</t>
    <phoneticPr fontId="2"/>
  </si>
  <si>
    <t>17</t>
    <phoneticPr fontId="2"/>
  </si>
  <si>
    <t>消火・排煙・災害報知設備及び格納式避難設備</t>
    <phoneticPr fontId="2"/>
  </si>
  <si>
    <t>18</t>
    <phoneticPr fontId="2"/>
  </si>
  <si>
    <t>建物附属設備</t>
    <rPh sb="0" eb="2">
      <t>タテモノ</t>
    </rPh>
    <rPh sb="2" eb="4">
      <t>フゾク</t>
    </rPh>
    <rPh sb="4" eb="6">
      <t>セツビ</t>
    </rPh>
    <phoneticPr fontId="2"/>
  </si>
  <si>
    <t>エヤーカーテン又はドアー自動開閉設備</t>
    <phoneticPr fontId="2"/>
  </si>
  <si>
    <t>19</t>
    <phoneticPr fontId="2"/>
  </si>
  <si>
    <t>アーケード又は日よけ設備-金属製</t>
    <phoneticPr fontId="2"/>
  </si>
  <si>
    <t>20</t>
    <phoneticPr fontId="2"/>
  </si>
  <si>
    <t>アーケード又は日よけ設備-その他のもの-停車場建物</t>
  </si>
  <si>
    <t>21</t>
    <phoneticPr fontId="2"/>
  </si>
  <si>
    <t>店用簡易設備-停車場建物</t>
  </si>
  <si>
    <t>22</t>
    <phoneticPr fontId="2"/>
  </si>
  <si>
    <t>可動簡易装備-簡易なもの</t>
    <phoneticPr fontId="2"/>
  </si>
  <si>
    <t>23</t>
    <phoneticPr fontId="2"/>
  </si>
  <si>
    <t>可動簡易装備-その他のもの</t>
    <phoneticPr fontId="2"/>
  </si>
  <si>
    <t>24</t>
    <phoneticPr fontId="2"/>
  </si>
  <si>
    <t>前掲以外・前掲区分外-主として金属製のもの</t>
    <phoneticPr fontId="2"/>
  </si>
  <si>
    <t>25</t>
    <phoneticPr fontId="2"/>
  </si>
  <si>
    <t>前掲以外・前掲区分外-その他のもの</t>
    <phoneticPr fontId="2"/>
  </si>
  <si>
    <t>資産計上建物　計</t>
    <rPh sb="0" eb="2">
      <t>シサン</t>
    </rPh>
    <rPh sb="2" eb="4">
      <t>ケイジョウ</t>
    </rPh>
    <rPh sb="4" eb="6">
      <t>タテモノ</t>
    </rPh>
    <rPh sb="7" eb="8">
      <t>ケイ</t>
    </rPh>
    <phoneticPr fontId="2"/>
  </si>
  <si>
    <t>１０構築物　直接工事費</t>
    <rPh sb="2" eb="5">
      <t>コウチクブツ</t>
    </rPh>
    <rPh sb="6" eb="8">
      <t>チョクセツ</t>
    </rPh>
    <rPh sb="8" eb="11">
      <t>コウジヒ</t>
    </rPh>
    <phoneticPr fontId="2"/>
  </si>
  <si>
    <t>10構築物</t>
    <rPh sb="2" eb="5">
      <t>コウチクブツ</t>
    </rPh>
    <phoneticPr fontId="2"/>
  </si>
  <si>
    <t>（直接仮設・部分撤去・費用を除く）</t>
    <phoneticPr fontId="2"/>
  </si>
  <si>
    <t>勘定科目「目」--&gt;</t>
    <rPh sb="5" eb="6">
      <t>モク</t>
    </rPh>
    <phoneticPr fontId="2"/>
  </si>
  <si>
    <t>024雑設備</t>
    <rPh sb="3" eb="4">
      <t>ザツ</t>
    </rPh>
    <rPh sb="4" eb="6">
      <t>セツビ</t>
    </rPh>
    <phoneticPr fontId="2"/>
  </si>
  <si>
    <t>（停車場設備）</t>
    <rPh sb="1" eb="4">
      <t>テイシャジョウ</t>
    </rPh>
    <rPh sb="4" eb="6">
      <t>セツビ</t>
    </rPh>
    <phoneticPr fontId="2"/>
  </si>
  <si>
    <t>01</t>
    <phoneticPr fontId="2"/>
  </si>
  <si>
    <t>舗装</t>
    <rPh sb="0" eb="2">
      <t>ホソウ</t>
    </rPh>
    <phoneticPr fontId="2"/>
  </si>
  <si>
    <t>駅前広場舗装等</t>
    <rPh sb="0" eb="1">
      <t>エキ</t>
    </rPh>
    <rPh sb="1" eb="2">
      <t>マエ</t>
    </rPh>
    <rPh sb="2" eb="4">
      <t>ヒロバ</t>
    </rPh>
    <rPh sb="4" eb="6">
      <t>ホソウ</t>
    </rPh>
    <rPh sb="6" eb="7">
      <t>トウ</t>
    </rPh>
    <phoneticPr fontId="2"/>
  </si>
  <si>
    <t>02</t>
  </si>
  <si>
    <t>その他</t>
    <phoneticPr fontId="2"/>
  </si>
  <si>
    <t>その他</t>
    <phoneticPr fontId="2"/>
  </si>
  <si>
    <t>（諸構築物）</t>
    <phoneticPr fontId="2"/>
  </si>
  <si>
    <t>コンクリ・ブロック・レンガ・石敷</t>
    <rPh sb="14" eb="15">
      <t>イシ</t>
    </rPh>
    <rPh sb="15" eb="16">
      <t>シキ</t>
    </rPh>
    <phoneticPr fontId="2"/>
  </si>
  <si>
    <t>アスファルト・木れんか敷</t>
    <rPh sb="7" eb="8">
      <t>キ</t>
    </rPh>
    <rPh sb="11" eb="12">
      <t>シキ</t>
    </rPh>
    <phoneticPr fontId="2"/>
  </si>
  <si>
    <t>03</t>
  </si>
  <si>
    <t>ビチューマルス敷</t>
    <rPh sb="7" eb="8">
      <t>シキ</t>
    </rPh>
    <phoneticPr fontId="2"/>
  </si>
  <si>
    <t>04</t>
  </si>
  <si>
    <t>へい</t>
    <phoneticPr fontId="2"/>
  </si>
  <si>
    <t>鉄骨鉄筋コン造・鉄コン造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</si>
  <si>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05</t>
  </si>
  <si>
    <t>その他</t>
    <rPh sb="2" eb="3">
      <t>タ</t>
    </rPh>
    <phoneticPr fontId="2"/>
  </si>
  <si>
    <t>06</t>
  </si>
  <si>
    <t>へい</t>
    <phoneticPr fontId="2"/>
  </si>
  <si>
    <t>コン造・コンクリートブロック造</t>
    <rPh sb="2" eb="3">
      <t>ゾウ</t>
    </rPh>
    <rPh sb="14" eb="15">
      <t>ゾウ</t>
    </rPh>
    <phoneticPr fontId="2"/>
  </si>
  <si>
    <t>07</t>
  </si>
  <si>
    <t>08</t>
  </si>
  <si>
    <t>金属造</t>
    <rPh sb="0" eb="2">
      <t>キンゾク</t>
    </rPh>
    <rPh sb="2" eb="3">
      <t>ゾウ</t>
    </rPh>
    <phoneticPr fontId="2"/>
  </si>
  <si>
    <t>09</t>
  </si>
  <si>
    <t>10</t>
    <phoneticPr fontId="2"/>
  </si>
  <si>
    <t>木造</t>
    <rPh sb="0" eb="1">
      <t>モク</t>
    </rPh>
    <rPh sb="1" eb="2">
      <t>ゾウ</t>
    </rPh>
    <phoneticPr fontId="2"/>
  </si>
  <si>
    <t>11</t>
    <phoneticPr fontId="2"/>
  </si>
  <si>
    <t>資産計上構築物　計</t>
    <rPh sb="0" eb="2">
      <t>シサン</t>
    </rPh>
    <rPh sb="2" eb="4">
      <t>ケイジョウ</t>
    </rPh>
    <rPh sb="4" eb="7">
      <t>コウチクブツ</t>
    </rPh>
    <rPh sb="8" eb="9">
      <t>ケイ</t>
    </rPh>
    <phoneticPr fontId="2"/>
  </si>
  <si>
    <t>２５工具・器具・備品　直接工事費</t>
    <rPh sb="2" eb="4">
      <t>コウグ</t>
    </rPh>
    <rPh sb="5" eb="7">
      <t>キグ</t>
    </rPh>
    <rPh sb="8" eb="10">
      <t>ビヒン</t>
    </rPh>
    <rPh sb="11" eb="13">
      <t>チョクセツ</t>
    </rPh>
    <rPh sb="13" eb="16">
      <t>コウジヒ</t>
    </rPh>
    <phoneticPr fontId="2"/>
  </si>
  <si>
    <t>25工具・器具・備品</t>
    <phoneticPr fontId="2"/>
  </si>
  <si>
    <t>（直接仮設・部分撤去・費用を除く）</t>
    <phoneticPr fontId="2"/>
  </si>
  <si>
    <t>059工具・器具・備品</t>
    <phoneticPr fontId="2"/>
  </si>
  <si>
    <t>12505958</t>
  </si>
  <si>
    <t>看板・広告機器-(主として金属製)</t>
    <phoneticPr fontId="2"/>
  </si>
  <si>
    <t>01</t>
    <phoneticPr fontId="2"/>
  </si>
  <si>
    <t>電照サイン</t>
    <rPh sb="0" eb="2">
      <t>デンショウ</t>
    </rPh>
    <phoneticPr fontId="2"/>
  </si>
  <si>
    <t>＊器具本体・金属枠・板面共</t>
    <rPh sb="1" eb="3">
      <t>キグ</t>
    </rPh>
    <rPh sb="3" eb="5">
      <t>ホンタイ</t>
    </rPh>
    <rPh sb="6" eb="8">
      <t>キンゾク</t>
    </rPh>
    <rPh sb="8" eb="9">
      <t>ワク</t>
    </rPh>
    <rPh sb="10" eb="12">
      <t>バンメン</t>
    </rPh>
    <rPh sb="12" eb="13">
      <t>トモ</t>
    </rPh>
    <phoneticPr fontId="2"/>
  </si>
  <si>
    <t>非電照サイン</t>
    <rPh sb="0" eb="1">
      <t>ヒ</t>
    </rPh>
    <rPh sb="1" eb="3">
      <t>デンショウ</t>
    </rPh>
    <phoneticPr fontId="2"/>
  </si>
  <si>
    <t>電照広告</t>
    <rPh sb="0" eb="2">
      <t>デンショウ</t>
    </rPh>
    <rPh sb="2" eb="4">
      <t>コウコク</t>
    </rPh>
    <phoneticPr fontId="2"/>
  </si>
  <si>
    <t>非電照広告</t>
    <rPh sb="0" eb="1">
      <t>ヒ</t>
    </rPh>
    <rPh sb="1" eb="2">
      <t>デン</t>
    </rPh>
    <rPh sb="2" eb="3">
      <t>テ</t>
    </rPh>
    <rPh sb="3" eb="5">
      <t>コウコク</t>
    </rPh>
    <phoneticPr fontId="2"/>
  </si>
  <si>
    <t>電気設備</t>
    <rPh sb="0" eb="2">
      <t>デンキ</t>
    </rPh>
    <rPh sb="2" eb="4">
      <t>セツビ</t>
    </rPh>
    <phoneticPr fontId="2"/>
  </si>
  <si>
    <t>12505959</t>
  </si>
  <si>
    <t>看板・広告機器-その他のもの</t>
    <phoneticPr fontId="2"/>
  </si>
  <si>
    <t>＊枠無し板面のみ</t>
    <rPh sb="1" eb="2">
      <t>ワク</t>
    </rPh>
    <rPh sb="2" eb="3">
      <t>ナ</t>
    </rPh>
    <rPh sb="4" eb="5">
      <t>イタ</t>
    </rPh>
    <rPh sb="5" eb="6">
      <t>メン</t>
    </rPh>
    <phoneticPr fontId="2"/>
  </si>
  <si>
    <t>非電照広告</t>
    <rPh sb="0" eb="1">
      <t>ヒ</t>
    </rPh>
    <rPh sb="1" eb="3">
      <t>デンショウ</t>
    </rPh>
    <rPh sb="3" eb="5">
      <t>コウコク</t>
    </rPh>
    <phoneticPr fontId="2"/>
  </si>
  <si>
    <t>12505988</t>
    <phoneticPr fontId="2"/>
  </si>
  <si>
    <t>無人駐車管理装置</t>
    <rPh sb="0" eb="2">
      <t>ムジン</t>
    </rPh>
    <rPh sb="2" eb="4">
      <t>チュウシャ</t>
    </rPh>
    <rPh sb="4" eb="6">
      <t>カンリ</t>
    </rPh>
    <rPh sb="6" eb="8">
      <t>ソウチ</t>
    </rPh>
    <phoneticPr fontId="2"/>
  </si>
  <si>
    <t>12505990</t>
    <phoneticPr fontId="2"/>
  </si>
  <si>
    <t>その他（金造製）</t>
    <rPh sb="2" eb="3">
      <t>タ</t>
    </rPh>
    <rPh sb="4" eb="5">
      <t>キン</t>
    </rPh>
    <rPh sb="6" eb="7">
      <t>セイ</t>
    </rPh>
    <phoneticPr fontId="2"/>
  </si>
  <si>
    <t>12505991</t>
    <phoneticPr fontId="2"/>
  </si>
  <si>
    <t>その他（その他）</t>
    <rPh sb="2" eb="3">
      <t>タ</t>
    </rPh>
    <rPh sb="6" eb="7">
      <t>タ</t>
    </rPh>
    <phoneticPr fontId="2"/>
  </si>
  <si>
    <t>資産計上工具・器具・備品計</t>
    <rPh sb="0" eb="2">
      <t>シサン</t>
    </rPh>
    <rPh sb="2" eb="4">
      <t>ケイジョウ</t>
    </rPh>
    <rPh sb="4" eb="6">
      <t>コウグ</t>
    </rPh>
    <rPh sb="7" eb="9">
      <t>キグ</t>
    </rPh>
    <rPh sb="10" eb="12">
      <t>ビヒン</t>
    </rPh>
    <rPh sb="12" eb="13">
      <t>ケイ</t>
    </rPh>
    <phoneticPr fontId="2"/>
  </si>
  <si>
    <t>資産　直接工事費（直接仮設・費用・部分撤去工事を除く）合計</t>
    <rPh sb="0" eb="2">
      <t>シサン</t>
    </rPh>
    <rPh sb="3" eb="5">
      <t>チョクセツ</t>
    </rPh>
    <rPh sb="5" eb="7">
      <t>コウジ</t>
    </rPh>
    <rPh sb="7" eb="8">
      <t>ヒ</t>
    </rPh>
    <rPh sb="9" eb="11">
      <t>チョクセツ</t>
    </rPh>
    <rPh sb="11" eb="13">
      <t>カセツ</t>
    </rPh>
    <rPh sb="14" eb="16">
      <t>ヒヨウ</t>
    </rPh>
    <rPh sb="17" eb="19">
      <t>ブブン</t>
    </rPh>
    <rPh sb="19" eb="21">
      <t>テッキョ</t>
    </rPh>
    <rPh sb="21" eb="23">
      <t>コウジ</t>
    </rPh>
    <rPh sb="24" eb="25">
      <t>ノゾ</t>
    </rPh>
    <rPh sb="27" eb="29">
      <t>ゴウケイ</t>
    </rPh>
    <phoneticPr fontId="2"/>
  </si>
  <si>
    <t>資　産　ク　ラ　ス　・　計　上　区　分</t>
    <rPh sb="0" eb="1">
      <t>シ</t>
    </rPh>
    <rPh sb="2" eb="3">
      <t>サン</t>
    </rPh>
    <rPh sb="12" eb="13">
      <t>ケイ</t>
    </rPh>
    <rPh sb="14" eb="15">
      <t>ウエ</t>
    </rPh>
    <rPh sb="16" eb="17">
      <t>ク</t>
    </rPh>
    <rPh sb="18" eb="19">
      <t>ブン</t>
    </rPh>
    <phoneticPr fontId="2"/>
  </si>
  <si>
    <t>合計</t>
    <rPh sb="0" eb="2">
      <t>ゴウケイ</t>
    </rPh>
    <phoneticPr fontId="2"/>
  </si>
  <si>
    <t>鉄骨鉄筋コンクリート造又は鉄筋コンクリート造-停車場建物</t>
    <phoneticPr fontId="2"/>
  </si>
  <si>
    <t>れんが造、石造又はブロック造-停車場建物</t>
    <phoneticPr fontId="2"/>
  </si>
  <si>
    <t>金属造(骨格材の肉厚が4mm超)-停車場建物</t>
    <phoneticPr fontId="2"/>
  </si>
  <si>
    <t>金属造(骨格材の肉厚が3mm超4mm以下)-停車場建物</t>
    <phoneticPr fontId="2"/>
  </si>
  <si>
    <t>金属造(骨格材の肉厚が3mm以下)-停車場建物</t>
    <phoneticPr fontId="2"/>
  </si>
  <si>
    <t>木造又は合成樹脂造-停車場建物</t>
    <phoneticPr fontId="2"/>
  </si>
  <si>
    <t>木骨モルタル造-停車場建物</t>
    <phoneticPr fontId="2"/>
  </si>
  <si>
    <t>簡易建物(木製主要柱が10cm角以下で土居、杉皮ぶき等)-停車場建物</t>
    <phoneticPr fontId="2"/>
  </si>
  <si>
    <t>簡易建物(掘立造のもの及び仮設のもの)-停車場建物</t>
    <phoneticPr fontId="2"/>
  </si>
  <si>
    <t>電気設備(照明設備を含む)-蓄電池電源設備-停車場建物</t>
    <phoneticPr fontId="2"/>
  </si>
  <si>
    <t>電気設備(照明設備を含む)-その他のもの-停車場建物</t>
    <phoneticPr fontId="2"/>
  </si>
  <si>
    <t>給排水又は衛生設備及びガス設備-停車場建物</t>
    <phoneticPr fontId="2"/>
  </si>
  <si>
    <t>冷暖房・通風・ボイラー設備-22kw以下-停車場建物</t>
    <phoneticPr fontId="2"/>
  </si>
  <si>
    <t>冷暖房・通風・ボイラー設備-その他のもの-停車場建物</t>
    <phoneticPr fontId="2"/>
  </si>
  <si>
    <t>昇降機設備-エレベーター-停車場建物</t>
    <phoneticPr fontId="2"/>
  </si>
  <si>
    <t>昇降機設備-エスカレーター-停車場建物</t>
    <phoneticPr fontId="2"/>
  </si>
  <si>
    <t>消火・排煙・災害報知設備及び格納式避難設備-停車場建物</t>
    <phoneticPr fontId="2"/>
  </si>
  <si>
    <t>エヤーカーテン又はドアー自動開閉設備-停車場建物</t>
    <phoneticPr fontId="2"/>
  </si>
  <si>
    <t>アーケード又は日よけ設備-金属製-停車場建物</t>
    <phoneticPr fontId="2"/>
  </si>
  <si>
    <t>アーケード又は日よけ設備-その他のもの-停車場建物</t>
    <phoneticPr fontId="2"/>
  </si>
  <si>
    <t>店用簡易設備-停車場建物</t>
    <phoneticPr fontId="2"/>
  </si>
  <si>
    <t>可動簡易装備-簡易なもの-停車場建物</t>
    <phoneticPr fontId="2"/>
  </si>
  <si>
    <t>可動簡易装備-その他のもの-停車場建物</t>
    <phoneticPr fontId="2"/>
  </si>
  <si>
    <t>前掲以外・前掲区分外-主として金属製のもの-停車場建物</t>
    <phoneticPr fontId="2"/>
  </si>
  <si>
    <t>前掲以外・前掲区分外-その他のもの-停車場建物</t>
    <phoneticPr fontId="2"/>
  </si>
  <si>
    <t>鉄骨鉄筋コンクリート造又は鉄筋コンクリート造-変電所建物</t>
    <phoneticPr fontId="2"/>
  </si>
  <si>
    <t>れんが造、石造又はブロック造-変電所建物</t>
    <phoneticPr fontId="2"/>
  </si>
  <si>
    <t>金属造(骨格材の肉厚が4mm超)-変電所建物</t>
    <phoneticPr fontId="2"/>
  </si>
  <si>
    <t>金属造(骨格材の肉厚が3mm超4mm以下)-変電所建物</t>
    <phoneticPr fontId="2"/>
  </si>
  <si>
    <t>金属造(骨格材の肉厚が3mm以下)-変電所建物</t>
    <phoneticPr fontId="2"/>
  </si>
  <si>
    <t>木造又は合成樹脂造-変電所建物</t>
    <phoneticPr fontId="2"/>
  </si>
  <si>
    <t>木骨モルタル造-変電所建物</t>
    <phoneticPr fontId="2"/>
  </si>
  <si>
    <t>簡易建物(木製主要柱が10cm角以下で土居、杉皮ぶき等)-変電所建物</t>
    <phoneticPr fontId="2"/>
  </si>
  <si>
    <t>簡易建物(掘立造のもの及び仮設のもの)-変電所建物</t>
    <phoneticPr fontId="2"/>
  </si>
  <si>
    <t>電気設備(照明設備を含む)-蓄電池電源設備-変電所建物</t>
    <phoneticPr fontId="2"/>
  </si>
  <si>
    <t>電気設備(照明設備を含む)-その他のもの-変電所建物</t>
    <phoneticPr fontId="2"/>
  </si>
  <si>
    <t>給排水又は衛生設備及びガス設備-変電所建物</t>
    <phoneticPr fontId="2"/>
  </si>
  <si>
    <t>冷暖房・通風・ボイラー設備-22kw以下-変電所建物</t>
    <phoneticPr fontId="2"/>
  </si>
  <si>
    <t>冷暖房・通風・ボイラー設備-その他のもの-変電所建物</t>
    <phoneticPr fontId="2"/>
  </si>
  <si>
    <t>昇降機設備-エレベーター-変電所建物</t>
    <phoneticPr fontId="2"/>
  </si>
  <si>
    <t>昇降機設備-エスカレーター-変電所建物</t>
    <phoneticPr fontId="2"/>
  </si>
  <si>
    <t>消火・排煙・災害報知設備及び格納式避難設備-変電所建物</t>
    <phoneticPr fontId="2"/>
  </si>
  <si>
    <t>エヤーカーテン又はドアー自動開閉設備-変電所建物</t>
    <phoneticPr fontId="2"/>
  </si>
  <si>
    <t>アーケード又は日よけ設備-金属製-変電所建物</t>
    <phoneticPr fontId="2"/>
  </si>
  <si>
    <t>アーケード又は日よけ設備-その他のもの-変電所建物</t>
    <phoneticPr fontId="2"/>
  </si>
  <si>
    <t>店用簡易設備-変電所建物</t>
    <phoneticPr fontId="2"/>
  </si>
  <si>
    <t>可動簡易装備-簡易なもの-変電所建物</t>
    <phoneticPr fontId="2"/>
  </si>
  <si>
    <t>可動簡易装備-その他のもの-変電所建物</t>
    <phoneticPr fontId="2"/>
  </si>
  <si>
    <t>前掲以外・前掲区分外-主として金属製のもの-変電所建物</t>
    <phoneticPr fontId="2"/>
  </si>
  <si>
    <t>前掲以外・前掲区分外-その他のもの-変電所建物</t>
    <phoneticPr fontId="2"/>
  </si>
  <si>
    <t>鉄骨鉄筋コンクリート造又は鉄筋コンクリート造-車庫・工場</t>
    <phoneticPr fontId="2"/>
  </si>
  <si>
    <t>れんが造、石造又はブロック造-車庫・工場</t>
    <phoneticPr fontId="2"/>
  </si>
  <si>
    <t>金属造(骨格材の肉厚が4mm超)-車庫・工場</t>
    <phoneticPr fontId="2"/>
  </si>
  <si>
    <t>金属造(骨格材の肉厚が3mm超4mm以下)-車庫・工場</t>
    <phoneticPr fontId="2"/>
  </si>
  <si>
    <t>金属造(骨格材の肉厚が3mm以下)-車庫・工場</t>
    <phoneticPr fontId="2"/>
  </si>
  <si>
    <t>木造又は合成樹脂造-車庫・工場</t>
    <phoneticPr fontId="2"/>
  </si>
  <si>
    <t>木骨モルタル造-車庫・工場</t>
    <phoneticPr fontId="2"/>
  </si>
  <si>
    <t>簡易建物(木製主要柱が10cm角以下で土居、杉皮ぶき等)-車庫・工場</t>
    <phoneticPr fontId="2"/>
  </si>
  <si>
    <t>簡易建物(掘立造のもの及び仮設のもの)-車庫・工場</t>
    <phoneticPr fontId="2"/>
  </si>
  <si>
    <t>電気設備(照明設備を含む)-蓄電池電源設備-車庫・工場</t>
    <phoneticPr fontId="2"/>
  </si>
  <si>
    <t>電気設備(照明設備を含む)-その他のもの-車庫・工場</t>
    <phoneticPr fontId="2"/>
  </si>
  <si>
    <t>給排水又は衛生設備及びガス設備-車庫・工場</t>
    <phoneticPr fontId="2"/>
  </si>
  <si>
    <t>冷暖房・通風・ボイラー設備-22kw以下-車庫・工場</t>
    <phoneticPr fontId="2"/>
  </si>
  <si>
    <t>冷暖房・通風・ボイラー設備-その他のもの-車庫・工場</t>
    <phoneticPr fontId="2"/>
  </si>
  <si>
    <t>鉄有固-運送施設 建物付属設備-</t>
    <phoneticPr fontId="2"/>
  </si>
  <si>
    <t>昇降機設備-エスカレーター-車庫・工場</t>
    <phoneticPr fontId="2"/>
  </si>
  <si>
    <t>消火・排煙・災害報知設備及び格納式避難設備-車庫・工場</t>
    <phoneticPr fontId="2"/>
  </si>
  <si>
    <t>エヤーカーテン又はドアー自動開閉設備-車庫・工場</t>
    <phoneticPr fontId="2"/>
  </si>
  <si>
    <t>アーケード又は日よけ設備-金属製-車庫・工場</t>
    <phoneticPr fontId="2"/>
  </si>
  <si>
    <t>アーケード又は日よけ設備-その他のもの-車庫・工場</t>
    <phoneticPr fontId="2"/>
  </si>
  <si>
    <t>店用簡易設備-車庫・工場</t>
    <phoneticPr fontId="2"/>
  </si>
  <si>
    <t>可動簡易装備-簡易なもの-車庫・工場</t>
    <phoneticPr fontId="2"/>
  </si>
  <si>
    <t>可動簡易装備-その他のもの-車庫・工場</t>
    <phoneticPr fontId="2"/>
  </si>
  <si>
    <t>前掲以外・前掲区分外-主として金属製のもの-車庫・工場</t>
    <phoneticPr fontId="2"/>
  </si>
  <si>
    <t>前掲以外・前掲区分外-その他のもの-車庫・工場</t>
    <phoneticPr fontId="2"/>
  </si>
  <si>
    <t>鉄骨鉄筋コンクリート造又は鉄筋コンクリート造-倉庫建物</t>
    <phoneticPr fontId="2"/>
  </si>
  <si>
    <t>れんが造、石造又はブロック造-倉庫建物</t>
    <phoneticPr fontId="2"/>
  </si>
  <si>
    <t>金属造(骨格材の肉厚が4mm超)-倉庫建物</t>
    <phoneticPr fontId="2"/>
  </si>
  <si>
    <t>金属造(骨格材の肉厚が3mm超4mm以下)-倉庫建物</t>
    <phoneticPr fontId="2"/>
  </si>
  <si>
    <t>金属造(骨格材の肉厚が3mm以下)-倉庫建物</t>
    <phoneticPr fontId="2"/>
  </si>
  <si>
    <t>木造又は合成樹脂造-倉庫建物</t>
    <phoneticPr fontId="2"/>
  </si>
  <si>
    <t>木骨モルタル造-倉庫建物</t>
    <phoneticPr fontId="2"/>
  </si>
  <si>
    <t>簡易建物(木製主要柱が10cm角以下で土居、杉皮ぶき等)-倉庫建物</t>
    <phoneticPr fontId="2"/>
  </si>
  <si>
    <t>簡易建物(掘立造のもの及び仮設のもの)-倉庫建物</t>
    <phoneticPr fontId="2"/>
  </si>
  <si>
    <t>電気設備(照明設備を含む)-蓄電池電源設備-倉庫建物</t>
    <phoneticPr fontId="2"/>
  </si>
  <si>
    <t>電気設備(照明設備を含む)-その他のもの-倉庫建物</t>
    <phoneticPr fontId="2"/>
  </si>
  <si>
    <t>給排水又は衛生設備及びガス設備-倉庫建物</t>
    <phoneticPr fontId="2"/>
  </si>
  <si>
    <t>冷暖房・通風・ボイラー設備-22kw以下-倉庫建物</t>
    <phoneticPr fontId="2"/>
  </si>
  <si>
    <t>冷暖房・通風・ボイラー設備-その他のもの-倉庫建物</t>
    <phoneticPr fontId="2"/>
  </si>
  <si>
    <t>昇降機設備-エレベーター-倉庫建物</t>
    <phoneticPr fontId="2"/>
  </si>
  <si>
    <t>昇降機設備-エスカレーター-倉庫建物</t>
    <phoneticPr fontId="2"/>
  </si>
  <si>
    <t>消火・排煙・災害報知設備及び格納式避難設備-倉庫建物</t>
    <phoneticPr fontId="2"/>
  </si>
  <si>
    <t>エヤーカーテン又はドアー自動開閉設備-倉庫建物</t>
    <phoneticPr fontId="2"/>
  </si>
  <si>
    <t>アーケード又は日よけ設備-金属製-倉庫建物</t>
    <phoneticPr fontId="2"/>
  </si>
  <si>
    <t>アーケード又は日よけ設備-その他のもの-倉庫建物</t>
    <phoneticPr fontId="2"/>
  </si>
  <si>
    <t>店用簡易設備-倉庫建物</t>
    <phoneticPr fontId="2"/>
  </si>
  <si>
    <t>可動簡易装備-簡易なもの-倉庫建物</t>
    <phoneticPr fontId="2"/>
  </si>
  <si>
    <t>可動簡易装備-その他のもの-倉庫建物</t>
    <phoneticPr fontId="2"/>
  </si>
  <si>
    <t>前掲以外・前掲区分外-主として金属製のもの-倉庫建物</t>
    <phoneticPr fontId="2"/>
  </si>
  <si>
    <t>前掲以外・前掲区分外-その他のもの-倉庫建物</t>
    <phoneticPr fontId="2"/>
  </si>
  <si>
    <t>鉄骨鉄筋コンクリート造又は鉄筋コンクリート造-詰所建物</t>
    <phoneticPr fontId="2"/>
  </si>
  <si>
    <t>れんが造、石造又はブロック造-詰所建物</t>
    <phoneticPr fontId="2"/>
  </si>
  <si>
    <t>金属造(骨格材の肉厚が4mm超)-詰所建物</t>
    <phoneticPr fontId="2"/>
  </si>
  <si>
    <t>金属造(骨格材の肉厚が3mm超4mm以下)-詰所建物</t>
    <phoneticPr fontId="2"/>
  </si>
  <si>
    <t>金属造(骨格材の肉厚が3mm以下)-詰所建物</t>
    <phoneticPr fontId="2"/>
  </si>
  <si>
    <t>木造又は合成樹脂造-詰所建物</t>
    <phoneticPr fontId="2"/>
  </si>
  <si>
    <t>木骨モルタル造-詰所建物</t>
    <phoneticPr fontId="2"/>
  </si>
  <si>
    <t>簡易建物(木製主要柱が10cm角以下で土居、杉皮ぶき等)-詰所建物</t>
    <phoneticPr fontId="2"/>
  </si>
  <si>
    <t>簡易建物(掘立造のもの及び仮設のもの)-詰所建物</t>
    <phoneticPr fontId="2"/>
  </si>
  <si>
    <t>電気設備(照明設備を含む)-蓄電池電源設備-詰所建物</t>
    <phoneticPr fontId="2"/>
  </si>
  <si>
    <t>電気設備(照明設備を含む)-その他のもの-詰所建物</t>
    <phoneticPr fontId="2"/>
  </si>
  <si>
    <t>給排水又は衛生設備及びガス設備-詰所建物</t>
    <phoneticPr fontId="2"/>
  </si>
  <si>
    <t>冷暖房・通風・ボイラー設備-22kw以下-詰所建物</t>
    <phoneticPr fontId="2"/>
  </si>
  <si>
    <t>冷暖房・通風・ボイラー設備-その他のもの-詰所建物</t>
    <phoneticPr fontId="2"/>
  </si>
  <si>
    <t>昇降機設備-エレベーター-詰所建物</t>
    <phoneticPr fontId="2"/>
  </si>
  <si>
    <t>昇降機設備-エスカレーター-詰所建物</t>
    <phoneticPr fontId="2"/>
  </si>
  <si>
    <t>消火・排煙・災害報知設備及び格納式避難設備-詰所建物</t>
    <phoneticPr fontId="2"/>
  </si>
  <si>
    <t>エヤーカーテン又はドアー自動開閉設備-詰所建物</t>
    <phoneticPr fontId="2"/>
  </si>
  <si>
    <t>アーケード又は日よけ設備-金属製-詰所建物</t>
    <phoneticPr fontId="2"/>
  </si>
  <si>
    <t>アーケード又は日よけ設備-その他のもの-詰所建物</t>
    <phoneticPr fontId="2"/>
  </si>
  <si>
    <t>店用簡易設備-詰所建物</t>
    <phoneticPr fontId="2"/>
  </si>
  <si>
    <t>可動簡易装備-簡易なもの-詰所建物</t>
    <phoneticPr fontId="2"/>
  </si>
  <si>
    <t>可動簡易装備-その他のもの-詰所建物</t>
    <phoneticPr fontId="2"/>
  </si>
  <si>
    <t>前掲以外・前掲区分外-主として金属製のもの-詰所建物</t>
    <phoneticPr fontId="2"/>
  </si>
  <si>
    <t>前掲以外・前掲区分外-その他のもの-詰所建物</t>
    <phoneticPr fontId="2"/>
  </si>
  <si>
    <t>鉄骨鉄筋コンクリート造又は鉄筋コンクリート造-事務所建物</t>
    <phoneticPr fontId="2"/>
  </si>
  <si>
    <t>れんが造、石造又はブロック造-事務所建物</t>
    <phoneticPr fontId="2"/>
  </si>
  <si>
    <t>金属造(骨格材の肉厚が4mm超)-事務所建物</t>
    <phoneticPr fontId="2"/>
  </si>
  <si>
    <t>金属造(骨格材の肉厚が3mm超4mm以下)-事務所建物</t>
    <phoneticPr fontId="2"/>
  </si>
  <si>
    <t>金属造(骨格材の肉厚が3mm以下)-事務所建物</t>
    <phoneticPr fontId="2"/>
  </si>
  <si>
    <t>木造又は合成樹脂造-事務所建物</t>
    <phoneticPr fontId="2"/>
  </si>
  <si>
    <t>木骨モルタル造-事務所建物</t>
    <phoneticPr fontId="2"/>
  </si>
  <si>
    <t>簡易建物(木製主要柱が10cm角以下で土居、杉皮ぶき等)-事務所建物</t>
    <phoneticPr fontId="2"/>
  </si>
  <si>
    <t>簡易建物(掘立造のもの及び仮設のもの)-事務所建物</t>
    <phoneticPr fontId="2"/>
  </si>
  <si>
    <t>電気設備(照明設備を含む)-蓄電池電源設備-事務所建物</t>
    <phoneticPr fontId="2"/>
  </si>
  <si>
    <t>電気設備(照明設備を含む)-その他のもの-事務所建物</t>
    <phoneticPr fontId="2"/>
  </si>
  <si>
    <t>給排水又は衛生設備及びガス設備-事務所建物</t>
    <phoneticPr fontId="2"/>
  </si>
  <si>
    <t>冷暖房・通風・ボイラー設備-22kw以下-事務所建物</t>
    <phoneticPr fontId="2"/>
  </si>
  <si>
    <t>冷暖房・通風・ボイラー設備-その他のもの-事務所建物</t>
    <phoneticPr fontId="2"/>
  </si>
  <si>
    <t>昇降機設備-エレベーター-事務所建物</t>
    <phoneticPr fontId="2"/>
  </si>
  <si>
    <t>昇降機設備-エスカレーター-事務所建物</t>
    <phoneticPr fontId="2"/>
  </si>
  <si>
    <t>消火・排煙・災害報知設備及び格納式避難設備-事務所建物</t>
    <phoneticPr fontId="2"/>
  </si>
  <si>
    <t>エヤーカーテン又はドアー自動開閉設備-事務所建物</t>
    <phoneticPr fontId="2"/>
  </si>
  <si>
    <t>アーケード又は日よけ設備-金属製-事務所建物</t>
    <phoneticPr fontId="2"/>
  </si>
  <si>
    <t>アーケード又は日よけ設備-その他のもの-事務所建物</t>
    <phoneticPr fontId="2"/>
  </si>
  <si>
    <t>店用簡易設備-事務所建物</t>
    <phoneticPr fontId="2"/>
  </si>
  <si>
    <t>可動簡易装備-簡易なもの-事務所建物</t>
    <phoneticPr fontId="2"/>
  </si>
  <si>
    <t>可動簡易装備-その他のもの-事務所建物</t>
    <phoneticPr fontId="2"/>
  </si>
  <si>
    <t>前掲以外・前掲区分外-主として金属製のもの-事務所建物</t>
    <phoneticPr fontId="2"/>
  </si>
  <si>
    <t>前掲以外・前掲区分外-その他のもの-事務所建物</t>
    <phoneticPr fontId="2"/>
  </si>
  <si>
    <t>鉄骨鉄筋コンクリート造又は鉄筋コンクリート造-社宅・寮建物</t>
    <phoneticPr fontId="2"/>
  </si>
  <si>
    <t>れんが造、石造又はブロック造-社宅・寮建物</t>
    <phoneticPr fontId="2"/>
  </si>
  <si>
    <t>金属造(骨格材の肉厚が4mm超)-社宅・寮建物</t>
    <phoneticPr fontId="2"/>
  </si>
  <si>
    <t>金属造(骨格材の肉厚が3mm超4mm以下)-社宅・寮建物</t>
    <phoneticPr fontId="2"/>
  </si>
  <si>
    <t>金属造(骨格材の肉厚が3mm以下)-社宅・寮建物</t>
    <phoneticPr fontId="2"/>
  </si>
  <si>
    <t>木造又は合成樹脂造-社宅・寮建物</t>
    <phoneticPr fontId="2"/>
  </si>
  <si>
    <t>木骨モルタル造-社宅・寮建物</t>
    <phoneticPr fontId="2"/>
  </si>
  <si>
    <t>簡易建物(木製主要柱が10cm角以下で土居、杉皮ぶき等)-社宅・寮建物</t>
    <phoneticPr fontId="2"/>
  </si>
  <si>
    <t>簡易建物(掘立造のもの及び仮設のもの)-社宅・寮建物</t>
    <phoneticPr fontId="2"/>
  </si>
  <si>
    <t>電気設備(照明設備を含む)-蓄電池電源設備-社宅・寮建物</t>
    <phoneticPr fontId="2"/>
  </si>
  <si>
    <t>電気設備(照明設備を含む)-その他のもの-社宅・寮建物</t>
    <phoneticPr fontId="2"/>
  </si>
  <si>
    <t>給排水又は衛生設備及びガス設備-社宅・寮建物</t>
    <phoneticPr fontId="2"/>
  </si>
  <si>
    <t>冷暖房・通風・ボイラー設備-22kw以下-社宅・寮建物</t>
    <phoneticPr fontId="2"/>
  </si>
  <si>
    <t>冷暖房・通風・ボイラー設備-その他のもの-社宅・寮建物</t>
    <phoneticPr fontId="2"/>
  </si>
  <si>
    <t>昇降機設備-エレベーター-社宅・寮建物</t>
    <phoneticPr fontId="2"/>
  </si>
  <si>
    <t>昇降機設備-エスカレーター-社宅・寮建物</t>
    <phoneticPr fontId="2"/>
  </si>
  <si>
    <t>消火・排煙・災害報知設備及び格納式避難設備-社宅・寮建物</t>
    <phoneticPr fontId="2"/>
  </si>
  <si>
    <t>エヤーカーテン又はドアー自動開閉設備-社宅・寮建物</t>
    <phoneticPr fontId="2"/>
  </si>
  <si>
    <t>アーケード又は日よけ設備-金属製-社宅・寮建物</t>
    <phoneticPr fontId="2"/>
  </si>
  <si>
    <t>アーケード又は日よけ設備-その他のもの-社宅・寮建物</t>
    <phoneticPr fontId="2"/>
  </si>
  <si>
    <t>店用簡易設備-社宅・寮建物</t>
    <phoneticPr fontId="2"/>
  </si>
  <si>
    <t>可動簡易装備-簡易なもの-社宅・寮建物</t>
    <phoneticPr fontId="2"/>
  </si>
  <si>
    <t>可動簡易装備-その他のもの-社宅・寮建物</t>
    <phoneticPr fontId="2"/>
  </si>
  <si>
    <t>前掲以外・前掲区分外-主として金属製のもの-社宅・寮建物</t>
    <phoneticPr fontId="2"/>
  </si>
  <si>
    <t>前掲以外・前掲区分外-その他のもの-社宅・寮建物</t>
    <phoneticPr fontId="2"/>
  </si>
  <si>
    <t>雑設備-駅前広場舗装等</t>
    <rPh sb="4" eb="6">
      <t>エキマエ</t>
    </rPh>
    <rPh sb="6" eb="8">
      <t>ヒロバ</t>
    </rPh>
    <rPh sb="8" eb="10">
      <t>ホソウ</t>
    </rPh>
    <rPh sb="10" eb="11">
      <t>トウ</t>
    </rPh>
    <phoneticPr fontId="2"/>
  </si>
  <si>
    <t>雑設備-その他</t>
    <rPh sb="6" eb="7">
      <t>タ</t>
    </rPh>
    <phoneticPr fontId="2"/>
  </si>
  <si>
    <t>舗装道路・舗装路面-コンクリート敷、ブロック敷、煉瓦敷、石敷-車庫工場構築物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</si>
  <si>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</si>
  <si>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舗装道路・舗装路面-ビチューマルチ敷のもの-車庫工場構築物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</si>
  <si>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</si>
  <si>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鉄骨鉄筋コン造・鉄コン造-その他-車庫工場構築物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</si>
  <si>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コン造・コンクリートブロック造-へい-車庫工場構築物</t>
    <rPh sb="2" eb="3">
      <t>ゾウ</t>
    </rPh>
    <rPh sb="14" eb="15">
      <t>ゾウ</t>
    </rPh>
    <phoneticPr fontId="2"/>
  </si>
  <si>
    <t>コン造・コンクリートブロック造-その他-車庫工場構築物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</si>
  <si>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金属造-つり橋、煙突、焼却炉、打ち込み井戸、へい、街路及びガードレール-車庫工場構築物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</si>
  <si>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金属造-その他-車庫工場構築物</t>
    <rPh sb="0" eb="2">
      <t>キンゾク</t>
    </rPh>
    <rPh sb="2" eb="3">
      <t>ゾウ</t>
    </rPh>
    <rPh sb="6" eb="7">
      <t>タ</t>
    </rPh>
    <phoneticPr fontId="2"/>
  </si>
  <si>
    <t>木造-へい-車庫工場構築物</t>
    <rPh sb="0" eb="2">
      <t>モクゾウ</t>
    </rPh>
    <phoneticPr fontId="2"/>
  </si>
  <si>
    <t>木造-その他-車庫工場構築物</t>
    <rPh sb="0" eb="2">
      <t>モクゾウ</t>
    </rPh>
    <rPh sb="5" eb="6">
      <t>タ</t>
    </rPh>
    <phoneticPr fontId="2"/>
  </si>
  <si>
    <t>舗装道路・舗装路面-コンクリート敷、ブロック敷、煉瓦敷、石敷-変電所構築物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</si>
  <si>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</si>
  <si>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舗装道路・舗装路面-ビチューマルチ敷のもの-変電所構築物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</si>
  <si>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</si>
  <si>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鉄骨鉄筋コン造・鉄コン造-その他-変電所構築物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</si>
  <si>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コン造・コンクリートブロック造-へい-変電所構築物</t>
    <rPh sb="2" eb="3">
      <t>ゾウ</t>
    </rPh>
    <rPh sb="14" eb="15">
      <t>ゾウ</t>
    </rPh>
    <phoneticPr fontId="2"/>
  </si>
  <si>
    <t>コン造・コンクリートブロック造-その他-変電所構築物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</si>
  <si>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金属造-つり橋、煙突、焼却炉、打ち込み井戸、へい、街路及びガードレール-変電所構築物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</si>
  <si>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金属造-その他-変電所構築物</t>
    <rPh sb="0" eb="2">
      <t>キンゾク</t>
    </rPh>
    <rPh sb="2" eb="3">
      <t>ゾウ</t>
    </rPh>
    <rPh sb="6" eb="7">
      <t>タ</t>
    </rPh>
    <phoneticPr fontId="2"/>
  </si>
  <si>
    <t>木造-へい-変電所構築物</t>
    <rPh sb="0" eb="2">
      <t>モクゾウ</t>
    </rPh>
    <phoneticPr fontId="2"/>
  </si>
  <si>
    <t>木造-その他-変電所構築物</t>
    <rPh sb="0" eb="2">
      <t>モクゾウ</t>
    </rPh>
    <rPh sb="5" eb="6">
      <t>タ</t>
    </rPh>
    <phoneticPr fontId="2"/>
  </si>
  <si>
    <t>舗装道路・舗装路面-コンクリート敷、ブロック敷、煉瓦敷、石敷-雑構築物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22" eb="23">
      <t>シキ</t>
    </rPh>
    <rPh sb="24" eb="26">
      <t>レンガ</t>
    </rPh>
    <rPh sb="26" eb="27">
      <t>シキ</t>
    </rPh>
    <rPh sb="28" eb="29">
      <t>イシ</t>
    </rPh>
    <rPh sb="29" eb="30">
      <t>シキ</t>
    </rPh>
    <phoneticPr fontId="2"/>
  </si>
  <si>
    <t>舗装道路・舗装路面-アスファルト敷又は木れんが敷のもの-雑構築物</t>
    <rPh sb="0" eb="2">
      <t>ホソウ</t>
    </rPh>
    <rPh sb="2" eb="4">
      <t>ドウロ</t>
    </rPh>
    <rPh sb="5" eb="7">
      <t>ホソウ</t>
    </rPh>
    <rPh sb="7" eb="9">
      <t>ロメン</t>
    </rPh>
    <rPh sb="16" eb="17">
      <t>シキ</t>
    </rPh>
    <rPh sb="17" eb="18">
      <t>マタ</t>
    </rPh>
    <rPh sb="19" eb="20">
      <t>モク</t>
    </rPh>
    <rPh sb="23" eb="24">
      <t>シキ</t>
    </rPh>
    <phoneticPr fontId="2"/>
  </si>
  <si>
    <t>舗装道路・舗装路面-ビチューマルチ敷のもの-雑構築物</t>
    <rPh sb="0" eb="2">
      <t>ホソウ</t>
    </rPh>
    <rPh sb="2" eb="4">
      <t>ドウロ</t>
    </rPh>
    <rPh sb="5" eb="7">
      <t>ホソウ</t>
    </rPh>
    <rPh sb="7" eb="9">
      <t>ロメン</t>
    </rPh>
    <rPh sb="17" eb="18">
      <t>シキ</t>
    </rPh>
    <phoneticPr fontId="2"/>
  </si>
  <si>
    <t>鉄骨鉄筋コン造・鉄コン造-へい-雑構築物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phoneticPr fontId="2"/>
  </si>
  <si>
    <t>鉄骨鉄筋コン造・鉄コン造-その他-雑構築物</t>
    <rPh sb="0" eb="2">
      <t>テッコツ</t>
    </rPh>
    <rPh sb="2" eb="4">
      <t>テッキン</t>
    </rPh>
    <rPh sb="6" eb="7">
      <t>ゾウ</t>
    </rPh>
    <rPh sb="8" eb="9">
      <t>テツ</t>
    </rPh>
    <rPh sb="11" eb="12">
      <t>ゾウ</t>
    </rPh>
    <rPh sb="15" eb="16">
      <t>タ</t>
    </rPh>
    <phoneticPr fontId="2"/>
  </si>
  <si>
    <t>コン造・コンクリートブロック造-へい-雑構築物</t>
    <rPh sb="2" eb="3">
      <t>ゾウ</t>
    </rPh>
    <rPh sb="14" eb="15">
      <t>ゾウ</t>
    </rPh>
    <phoneticPr fontId="2"/>
  </si>
  <si>
    <t>コン造・コンクリートブロック造-その他-雑構築物</t>
    <rPh sb="2" eb="3">
      <t>ゾウ</t>
    </rPh>
    <rPh sb="14" eb="15">
      <t>ゾウ</t>
    </rPh>
    <rPh sb="18" eb="19">
      <t>タ</t>
    </rPh>
    <phoneticPr fontId="2"/>
  </si>
  <si>
    <t>金属造-つり橋、煙突、焼却炉、打ち込み井戸、へい、街路及びガードレール-雑構築物</t>
    <rPh sb="0" eb="2">
      <t>キンゾク</t>
    </rPh>
    <rPh sb="2" eb="3">
      <t>ゾウ</t>
    </rPh>
    <rPh sb="6" eb="7">
      <t>ハシ</t>
    </rPh>
    <rPh sb="8" eb="10">
      <t>エントツ</t>
    </rPh>
    <rPh sb="11" eb="14">
      <t>ショウキャクロ</t>
    </rPh>
    <rPh sb="15" eb="16">
      <t>ウ</t>
    </rPh>
    <rPh sb="17" eb="18">
      <t>コ</t>
    </rPh>
    <rPh sb="19" eb="21">
      <t>イド</t>
    </rPh>
    <rPh sb="25" eb="27">
      <t>ガイロ</t>
    </rPh>
    <rPh sb="27" eb="28">
      <t>オヨ</t>
    </rPh>
    <phoneticPr fontId="2"/>
  </si>
  <si>
    <t>金属造-その他-雑構築物</t>
    <rPh sb="0" eb="2">
      <t>キンゾク</t>
    </rPh>
    <rPh sb="2" eb="3">
      <t>ゾウ</t>
    </rPh>
    <rPh sb="6" eb="7">
      <t>タ</t>
    </rPh>
    <phoneticPr fontId="2"/>
  </si>
  <si>
    <t>木造-へい-雑構築物</t>
    <rPh sb="0" eb="2">
      <t>モクゾウ</t>
    </rPh>
    <phoneticPr fontId="2"/>
  </si>
  <si>
    <t>木造-その他-雑構築物</t>
    <rPh sb="0" eb="2">
      <t>モクゾウ</t>
    </rPh>
    <rPh sb="5" eb="6">
      <t>タ</t>
    </rPh>
    <phoneticPr fontId="2"/>
  </si>
  <si>
    <t>－</t>
    <phoneticPr fontId="2"/>
  </si>
  <si>
    <t>－</t>
    <phoneticPr fontId="2"/>
  </si>
  <si>
    <t>部分撤去工事　工事価格　計</t>
    <rPh sb="0" eb="2">
      <t>ブブン</t>
    </rPh>
    <rPh sb="2" eb="4">
      <t>テッキョ</t>
    </rPh>
    <rPh sb="4" eb="6">
      <t>コウジ</t>
    </rPh>
    <rPh sb="7" eb="9">
      <t>コウジ</t>
    </rPh>
    <rPh sb="9" eb="11">
      <t>カカク</t>
    </rPh>
    <rPh sb="12" eb="13">
      <t>ケイ</t>
    </rPh>
    <phoneticPr fontId="2"/>
  </si>
  <si>
    <t>費用計上（部分撤去工事を除く）　工事価格　計</t>
    <rPh sb="0" eb="2">
      <t>ヒヨウ</t>
    </rPh>
    <rPh sb="2" eb="4">
      <t>ケイジョウ</t>
    </rPh>
    <rPh sb="5" eb="7">
      <t>ブブン</t>
    </rPh>
    <rPh sb="7" eb="9">
      <t>テッキョ</t>
    </rPh>
    <rPh sb="9" eb="11">
      <t>コウジ</t>
    </rPh>
    <rPh sb="12" eb="13">
      <t>ノゾ</t>
    </rPh>
    <rPh sb="16" eb="18">
      <t>コウジ</t>
    </rPh>
    <rPh sb="18" eb="20">
      <t>カカク</t>
    </rPh>
    <rPh sb="21" eb="22">
      <t>ケイ</t>
    </rPh>
    <phoneticPr fontId="2"/>
  </si>
  <si>
    <t>工事価格合計</t>
    <rPh sb="0" eb="2">
      <t>コウジ</t>
    </rPh>
    <rPh sb="2" eb="4">
      <t>カカク</t>
    </rPh>
    <rPh sb="4" eb="6">
      <t>ゴウケイ</t>
    </rPh>
    <phoneticPr fontId="2"/>
  </si>
  <si>
    <t>鉄有固-運送施設 土地-線路及び停車場用地</t>
  </si>
  <si>
    <t>鉄有固-運送施設 土地-変電所用地</t>
  </si>
  <si>
    <t>鉄有固-運送施設 土地-車庫及び工場用地</t>
  </si>
  <si>
    <t>鉄有固-運送施設 土地-倉庫用地</t>
  </si>
  <si>
    <t>鉄有固-運送施設 土地-事務所用地</t>
  </si>
  <si>
    <t>鉄有固-運送施設 土地-社宅及び寮用地</t>
  </si>
  <si>
    <t>鉄有固-運送施設 土地-雑用地</t>
  </si>
  <si>
    <t>鉄有固-運送施設 建物-鉄骨鉄筋コンクリート造又は鉄筋コンクリート造-停車場建物</t>
  </si>
  <si>
    <t>鉄有固-運送施設 建物-れんが造、石造又はブロック造-停車場建物</t>
  </si>
  <si>
    <t>鉄有固-運送施設 建物-金属造(骨格材の肉厚が4mm超)-停車場建物</t>
  </si>
  <si>
    <t>鉄有固-運送施設 建物-金属造(骨格材の肉厚が3mm超4mm以下)-停車場建物</t>
  </si>
  <si>
    <t>鉄有固-運送施設 建物-金属造(骨格材の肉厚が3mm以下)-停車場建物</t>
  </si>
  <si>
    <t>鉄有固-運送施設 建物-木造又は合成樹脂造-停車場建物</t>
  </si>
  <si>
    <t>鉄有固-運送施設 建物-木骨モルタル造-停車場建物</t>
  </si>
  <si>
    <t>鉄有固-運送施設 建物-簡易建物(木製主要柱が10cm角以下で土居、杉皮ぶき等)-停車場建物</t>
  </si>
  <si>
    <t>鉄有固-運送施設 建物-簡易建物(掘立造のもの及び仮設のもの)-停車場建物</t>
  </si>
  <si>
    <t>鉄有固-運送施設 建物付属設備-電気設備(照明設備を含む)-蓄電池電源設備-停車場建物</t>
  </si>
  <si>
    <t>鉄有固-運送施設 建物付属設備-電気設備(照明設備を含む)-その他のもの-停車場建物</t>
  </si>
  <si>
    <t>鉄有固-運送施設 建物付属設備-給排水又は衛生設備及びガス設備-停車場建物</t>
  </si>
  <si>
    <t>鉄有固-運送施設 建物付属設備-冷暖房・通風・ボイラー設備-22kw以下-停車場建物</t>
  </si>
  <si>
    <t>鉄有固-運送施設 建物付属設備-冷暖房・通風・ボイラー設備-その他のもの-停車場建物</t>
  </si>
  <si>
    <t>鉄有固-運送施設 建物付属設備-昇降機設備-エレベーター-停車場建物</t>
  </si>
  <si>
    <t>鉄有固-運送施設 建物付属設備-昇降機設備-エスカレーター-停車場建物</t>
  </si>
  <si>
    <t>鉄有固-運送施設 建物付属設備-消火・排煙・災害報知設備及び格納式避難設備-停車場建物</t>
  </si>
  <si>
    <t>鉄有固-運送施設 建物付属設備-エヤーカーテン又はドアー自動開閉設備-停車場建物</t>
  </si>
  <si>
    <t>鉄有固-運送施設 建物付属設備-アーケード又は日よけ設備-金属製-停車場建物</t>
  </si>
  <si>
    <t>鉄有固-運送施設 建物付属設備-アーケード又は日よけ設備-その他のもの-停車場建物</t>
  </si>
  <si>
    <t>鉄有固-運送施設 建物付属設備-店用簡易設備-停車場建物</t>
  </si>
  <si>
    <t>鉄有固-運送施設 建物付属設備-可動簡易装備-簡易なもの-停車場建物</t>
  </si>
  <si>
    <t>鉄有固-運送施設 建物付属設備-可動簡易装備-その他のもの-停車場建物</t>
  </si>
  <si>
    <t>鉄有固-運送施設 建物付属設備-前掲以外・前掲区分外-主として金属製のもの-停車場建物</t>
  </si>
  <si>
    <t>鉄有固-運送施設 建物付属設備-前掲以外・前掲区分外-その他のもの-停車場建物</t>
  </si>
  <si>
    <t>鉄有固-運送施設 建物-鉄骨鉄筋コンクリート造又は鉄筋コンクリート造-変電所建物</t>
  </si>
  <si>
    <t>鉄有固-運送施設 建物-れんが造、石造又はブロック造-変電所建物</t>
  </si>
  <si>
    <t>鉄有固-運送施設 建物-金属造(骨格材の肉厚が4mm超)-変電所建物</t>
  </si>
  <si>
    <t>鉄有固-運送施設 建物-金属造(骨格材の肉厚が3mm超4mm以下)-変電所建物</t>
  </si>
  <si>
    <t>鉄有固-運送施設 建物-金属造(骨格材の肉厚が3mm以下)-変電所建物</t>
  </si>
  <si>
    <t>鉄有固-運送施設 建物-木造又は合成樹脂造-変電所建物</t>
  </si>
  <si>
    <t>鉄有固-運送施設 建物-木骨モルタル造-変電所建物</t>
  </si>
  <si>
    <t>鉄有固-運送施設 建物-簡易建物(木製主要柱が10cm角以下で土居、杉皮ぶき等)-変電所建物</t>
  </si>
  <si>
    <t>鉄有固-運送施設 建物-簡易建物(掘立造のもの及び仮設のもの)-変電所建物</t>
  </si>
  <si>
    <t>鉄有固-運送施設 建物付属設備-電気設備(照明設備を含む)-蓄電池電源設備-変電所建物</t>
  </si>
  <si>
    <t>鉄有固-運送施設 建物付属設備-電気設備(照明設備を含む)-その他のもの-変電所建物</t>
  </si>
  <si>
    <t>鉄有固-運送施設 建物付属設備-給排水又は衛生設備及びガス設備-変電所建物</t>
  </si>
  <si>
    <t>鉄有固-運送施設 建物付属設備-冷暖房・通風・ボイラー設備-22kw以下-変電所建物</t>
  </si>
  <si>
    <t>鉄有固-運送施設 建物付属設備-冷暖房・通風・ボイラー設備-その他のもの-変電所建物</t>
  </si>
  <si>
    <t>鉄有固-運送施設 建物付属設備-昇降機設備-エレベーター-変電所建物</t>
  </si>
  <si>
    <t>鉄有固-運送施設 建物付属設備-昇降機設備-エスカレーター-変電所建物</t>
  </si>
  <si>
    <t>鉄有固-運送施設 建物付属設備-消火・排煙・災害報知設備及び格納式避難設備-変電所建物</t>
  </si>
  <si>
    <t>鉄有固-運送施設 建物付属設備-エヤーカーテン又はドアー自動開閉設備-変電所建物</t>
  </si>
  <si>
    <t>鉄有固-運送施設 建物付属設備-アーケード又は日よけ設備-金属製-変電所建物</t>
  </si>
  <si>
    <t>鉄有固-運送施設 建物付属設備-アーケード又は日よけ設備-その他のもの-変電所建物</t>
  </si>
  <si>
    <t>鉄有固-運送施設 建物付属設備-店用簡易設備-変電所建物</t>
  </si>
  <si>
    <t>鉄有固-運送施設 建物付属設備-可動簡易装備-簡易なもの-変電所建物</t>
  </si>
  <si>
    <t>鉄有固-運送施設 建物付属設備-可動簡易装備-その他のもの-変電所建物</t>
  </si>
  <si>
    <t>鉄有固-運送施設 建物付属設備-前掲以外・前掲区分外-主として金属製のもの-変電所建物</t>
  </si>
  <si>
    <t>鉄有固-運送施設 建物付属設備-前掲以外・前掲区分外-その他のもの-変電所建物</t>
  </si>
  <si>
    <t>鉄有固-運送施設 建物-鉄骨鉄筋コンクリート造又は鉄筋コンクリート造-車庫・工場</t>
  </si>
  <si>
    <t>鉄有固-運送施設 建物-れんが造、石造又はブロック造-車庫・工場</t>
  </si>
  <si>
    <t>鉄有固-運送施設 建物-金属造(骨格材の肉厚が4mm超)-車庫・工場</t>
  </si>
  <si>
    <t>鉄有固-運送施設 建物-金属造(骨格材の肉厚が3mm超4mm以下)-車庫・工場</t>
  </si>
  <si>
    <t>鉄有固-運送施設 建物-金属造(骨格材の肉厚が3mm以下)-車庫・工場</t>
  </si>
  <si>
    <t>鉄有固-運送施設 建物-木造又は合成樹脂造-車庫・工場</t>
  </si>
  <si>
    <t>鉄有固-運送施設 建物-木骨モルタル造-車庫・工場</t>
  </si>
  <si>
    <t>鉄有固-運送施設 建物-簡易建物(木製主要柱が10cm角以下で土居、杉皮ぶき等)-車庫・工場</t>
  </si>
  <si>
    <t>鉄有固-運送施設 建物-簡易建物(掘立造のもの及び仮設のもの)-車庫・工場</t>
  </si>
  <si>
    <t>鉄有固-運送施設 建物付属設備-電気設備(照明設備を含む)-蓄電池電源設備-車庫・工場</t>
  </si>
  <si>
    <t>鉄有固-運送施設 建物付属設備-電気設備(照明設備を含む)-その他のもの-車庫・工場</t>
  </si>
  <si>
    <t>鉄有固-運送施設 建物付属設備-給排水又は衛生設備及びガス設備-車庫・工場</t>
  </si>
  <si>
    <t>鉄有固-運送施設 建物付属設備-冷暖房・通風・ボイラー設備-22kw以下-車庫・工場</t>
  </si>
  <si>
    <t>鉄有固-運送施設 建物付属設備-冷暖房・通風・ボイラー設備-その他のもの-車庫・工場</t>
  </si>
  <si>
    <t>鉄有固-運送施設 建物付属設備-昇降機設備-エレベーター-車庫・工場</t>
  </si>
  <si>
    <t>鉄有固-運送施設 建物付属設備-昇降機設備-エスカレーター-車庫・工場</t>
  </si>
  <si>
    <t>鉄有固-運送施設 建物付属設備-消火・排煙・災害報知設備及び格納式避難設備-車庫・工場</t>
  </si>
  <si>
    <t>鉄有固-運送施設 建物付属設備-エヤーカーテン又はドアー自動開閉設備-車庫・工場</t>
  </si>
  <si>
    <t>鉄有固-運送施設 建物付属設備-アーケード又は日よけ設備-金属製-車庫・工場</t>
  </si>
  <si>
    <t>鉄有固-運送施設 建物付属設備-アーケード又は日よけ設備-その他のもの-車庫・工場</t>
  </si>
  <si>
    <t>鉄有固-運送施設 建物付属設備-店用簡易設備-車庫・工場</t>
  </si>
  <si>
    <t>鉄有固-運送施設 建物付属設備-可動簡易装備-簡易なもの-車庫・工場</t>
  </si>
  <si>
    <t>鉄有固-運送施設 建物付属設備-可動簡易装備-その他のもの-車庫・工場</t>
  </si>
  <si>
    <t>鉄有固-運送施設 建物付属設備-前掲以外・前掲区分外-主として金属製のもの-車庫・工場</t>
  </si>
  <si>
    <t>鉄有固-運送施設 建物付属設備-前掲以外・前掲区分外-その他のもの-車庫・工場</t>
  </si>
  <si>
    <t>鉄有固-運送施設 建物-鉄骨鉄筋コンクリート造又は鉄筋コンクリート造-倉庫建物</t>
  </si>
  <si>
    <t>鉄有固-運送施設 建物-れんが造、石造又はブロック造-倉庫建物</t>
  </si>
  <si>
    <t>鉄有固-運送施設 建物-金属造(骨格材の肉厚が4mm超)-倉庫建物</t>
  </si>
  <si>
    <t>鉄有固-運送施設 建物-金属造(骨格材の肉厚が3mm超4mm以下)-倉庫建物</t>
  </si>
  <si>
    <t>鉄有固-運送施設 建物-金属造(骨格材の肉厚が3mm以下)-倉庫建物</t>
  </si>
  <si>
    <t>鉄有固-運送施設 建物-木造又は合成樹脂造-倉庫建物</t>
  </si>
  <si>
    <t>鉄有固-運送施設 建物-木骨モルタル造-倉庫建物</t>
  </si>
  <si>
    <t>鉄有固-運送施設 建物-簡易建物(木製主要柱が10cm角以下で土居、杉皮ぶき等)-倉庫建物</t>
  </si>
  <si>
    <t>鉄有固-運送施設 建物-簡易建物(掘立造のもの及び仮設のもの)-倉庫建物</t>
  </si>
  <si>
    <t>鉄有固-運送施設 建物付属設備-電気設備(照明設備を含む)-蓄電池電源設備-倉庫建物</t>
  </si>
  <si>
    <t>鉄有固-運送施設 建物付属設備-電気設備(照明設備を含む)-その他のもの-倉庫建物</t>
  </si>
  <si>
    <t>鉄有固-運送施設 建物付属設備-給排水又は衛生設備及びガス設備-倉庫建物</t>
  </si>
  <si>
    <t>鉄有固-運送施設 建物付属設備-冷暖房・通風・ボイラー設備-22kw以下-倉庫建物</t>
  </si>
  <si>
    <t>鉄有固-運送施設 建物付属設備-冷暖房・通風・ボイラー設備-その他のもの-倉庫建物</t>
  </si>
  <si>
    <t>鉄有固-運送施設 建物付属設備-昇降機設備-エレベーター-倉庫建物</t>
  </si>
  <si>
    <t>鉄有固-運送施設 建物付属設備-昇降機設備-エスカレーター-倉庫建物</t>
  </si>
  <si>
    <t>鉄有固-運送施設 建物付属設備-消火・排煙・災害報知設備及び格納式避難設備-倉庫建物</t>
  </si>
  <si>
    <t>鉄有固-運送施設 建物付属設備-エヤーカーテン又はドアー自動開閉設備-倉庫建物</t>
  </si>
  <si>
    <t>鉄有固-運送施設 建物付属設備-アーケード又は日よけ設備-金属製-倉庫建物</t>
  </si>
  <si>
    <t>鉄有固-運送施設 建物付属設備-アーケード又は日よけ設備-その他のもの-倉庫建物</t>
  </si>
  <si>
    <t>鉄有固-運送施設 建物付属設備-店用簡易設備-倉庫建物</t>
  </si>
  <si>
    <t>鉄有固-運送施設 建物付属設備-可動簡易装備-簡易なもの-倉庫建物</t>
  </si>
  <si>
    <t>鉄有固-運送施設 建物付属設備-可動簡易装備-その他のもの-倉庫建物</t>
  </si>
  <si>
    <t>鉄有固-運送施設 建物付属設備-前掲以外・前掲区分外-主として金属製のもの-倉庫建物</t>
  </si>
  <si>
    <t>鉄有固-運送施設 建物付属設備-前掲以外・前掲区分外-その他のもの-倉庫建物</t>
  </si>
  <si>
    <t>鉄有固-運送施設 建物-鉄骨鉄筋コンクリート造又は鉄筋コンクリート造-詰所建物</t>
  </si>
  <si>
    <t>鉄有固-運送施設 建物-れんが造、石造又はブロック造-詰所建物</t>
  </si>
  <si>
    <t>鉄有固-運送施設 建物-金属造(骨格材の肉厚が4mm超)-詰所建物</t>
  </si>
  <si>
    <t>鉄有固-運送施設 建物-金属造(骨格材の肉厚が3mm超4mm以下)-詰所建物</t>
  </si>
  <si>
    <t>鉄有固-運送施設 建物-金属造(骨格材の肉厚が3mm以下)-詰所建物</t>
  </si>
  <si>
    <t>鉄有固-運送施設 建物-木造又は合成樹脂造-詰所建物</t>
  </si>
  <si>
    <t>鉄有固-運送施設 建物-木骨モルタル造-詰所建物</t>
  </si>
  <si>
    <t>鉄有固-運送施設 建物-簡易建物(木製主要柱が10cm角以下で土居、杉皮ぶき等)-詰所建物</t>
  </si>
  <si>
    <t>鉄有固-運送施設 建物-簡易建物(掘立造のもの及び仮設のもの)-詰所建物</t>
  </si>
  <si>
    <t>鉄有固-運送施設 建物付属設備-電気設備(照明設備を含む)-蓄電池電源設備-詰所建物</t>
  </si>
  <si>
    <t>鉄有固-運送施設 建物付属設備-電気設備(照明設備を含む)-その他のもの-詰所建物</t>
  </si>
  <si>
    <t>鉄有固-運送施設 建物付属設備-給排水又は衛生設備及びガス設備-詰所建物</t>
  </si>
  <si>
    <t>鉄有固-運送施設 建物付属設備-冷暖房・通風・ボイラー設備-22kw以下-詰所建物</t>
  </si>
  <si>
    <t>鉄有固-運送施設 建物付属設備-冷暖房・通風・ボイラー設備-その他のもの-詰所建物</t>
  </si>
  <si>
    <t>鉄有固-運送施設 建物付属設備-昇降機設備-エレベーター-詰所建物</t>
  </si>
  <si>
    <t>鉄有固-運送施設 建物付属設備-昇降機設備-エスカレーター-詰所建物</t>
  </si>
  <si>
    <t>鉄有固-運送施設 建物付属設備-消火・排煙・災害報知設備及び格納式避難設備-詰所建物</t>
  </si>
  <si>
    <t>鉄有固-運送施設 建物付属設備-エヤーカーテン又はドアー自動開閉設備-詰所建物</t>
  </si>
  <si>
    <t>鉄有固-運送施設 建物付属設備-アーケード又は日よけ設備-金属製-詰所建物</t>
  </si>
  <si>
    <t>鉄有固-運送施設 建物付属設備-アーケード又は日よけ設備-その他のもの-詰所建物</t>
  </si>
  <si>
    <t>鉄有固-運送施設 建物付属設備-店用簡易設備-詰所建物</t>
  </si>
  <si>
    <t>鉄有固-運送施設 建物付属設備-可動簡易装備-簡易なもの-詰所建物</t>
  </si>
  <si>
    <t>鉄有固-運送施設 建物付属設備-可動簡易装備-その他のもの-詰所建物</t>
  </si>
  <si>
    <t>鉄有固-運送施設 建物付属設備-前掲以外・前掲区分外-主として金属製のもの-詰所建物</t>
  </si>
  <si>
    <t>鉄有固-運送施設 建物付属設備-前掲以外・前掲区分外-その他のもの-詰所建物</t>
  </si>
  <si>
    <t>鉄有固-運送施設 建物-鉄骨鉄筋コンクリート造又は鉄筋コンクリート造-事務所建物</t>
  </si>
  <si>
    <t>鉄有固-運送施設 建物-れんが造、石造又はブロック造-事務所建物</t>
  </si>
  <si>
    <t>鉄有固-運送施設 建物-金属造(骨格材の肉厚が4mm超)-事務所建物</t>
  </si>
  <si>
    <t>鉄有固-運送施設 建物-金属造(骨格材の肉厚が3mm超4mm以下)-事務所建物</t>
  </si>
  <si>
    <t>鉄有固-運送施設 建物-金属造(骨格材の肉厚が3mm以下)-事務所建物</t>
  </si>
  <si>
    <t>鉄有固-運送施設 建物-木造又は合成樹脂造-事務所建物</t>
  </si>
  <si>
    <t>鉄有固-運送施設 建物-木骨モルタル造-事務所建物</t>
  </si>
  <si>
    <t>鉄有固-運送施設 建物-簡易建物(木製主要柱が10cm角以下で土居、杉皮ぶき等)-事務所建物</t>
  </si>
  <si>
    <t>鉄有固-運送施設 建物-簡易建物(掘立造のもの及び仮設のもの)-事務所建物</t>
  </si>
  <si>
    <t>鉄有固-運送施設 建物付属設備-電気設備(照明設備を含む)-蓄電池電源設備-事務所建物</t>
  </si>
  <si>
    <t>鉄有固-運送施設 建物付属設備-電気設備(照明設備を含む)-その他のもの-事務所建物</t>
  </si>
  <si>
    <t>鉄有固-運送施設 建物付属設備-給排水又は衛生設備及びガス設備-事務所建物</t>
  </si>
  <si>
    <t>鉄有固-運送施設 建物付属設備-冷暖房・通風・ボイラー設備-22kw以下-事務所建物</t>
  </si>
  <si>
    <t>鉄有固-運送施設 建物付属設備-冷暖房・通風・ボイラー設備-その他のもの-事務所建物</t>
  </si>
  <si>
    <t>鉄有固-運送施設 建物付属設備-昇降機設備-エレベーター-事務所建物</t>
  </si>
  <si>
    <t>鉄有固-運送施設 建物付属設備-昇降機設備-エスカレーター-事務所建物</t>
  </si>
  <si>
    <t>鉄有固-運送施設 建物付属設備-消火・排煙・災害報知設備及び格納式避難設備-事務所建物</t>
  </si>
  <si>
    <t>鉄有固-運送施設 建物付属設備-エヤーカーテン又はドアー自動開閉設備-事務所建物</t>
  </si>
  <si>
    <t>鉄有固-運送施設 建物付属設備-アーケード又は日よけ設備-金属製-事務所建物</t>
  </si>
  <si>
    <t>鉄有固-運送施設 建物付属設備-アーケード又は日よけ設備-その他のもの-事務所建物</t>
  </si>
  <si>
    <t>鉄有固-運送施設 建物付属設備-店用簡易設備-事務所建物</t>
  </si>
  <si>
    <t>鉄有固-運送施設 建物付属設備-可動簡易装備-簡易なもの-事務所建物</t>
  </si>
  <si>
    <t>鉄有固-運送施設 建物付属設備-可動簡易装備-その他のもの-事務所建物</t>
  </si>
  <si>
    <t>鉄有固-運送施設 建物付属設備-前掲以外・前掲区分外-主として金属製のもの-事務所建物</t>
  </si>
  <si>
    <t>鉄有固-運送施設 建物付属設備-前掲以外・前掲区分外-その他のもの-事務所建物</t>
  </si>
  <si>
    <t>鉄有固-運送施設 建物-鉄骨鉄筋コンクリート造又は鉄筋コンクリート造-社宅・寮建物</t>
  </si>
  <si>
    <t>鉄有固-運送施設 建物-れんが造、石造又はブロック造-社宅・寮建物</t>
  </si>
  <si>
    <t>鉄有固-運送施設 建物-金属造(骨格材の肉厚が4mm超)-社宅・寮建物</t>
  </si>
  <si>
    <t>鉄有固-運送施設 建物-金属造(骨格材の肉厚が3mm超4mm以下)-社宅・寮建物</t>
  </si>
  <si>
    <t>鉄有固-運送施設 建物-金属造(骨格材の肉厚が3mm以下)-社宅・寮建物</t>
  </si>
  <si>
    <t>鉄有固-運送施設 建物-木造又は合成樹脂造-社宅・寮建物</t>
  </si>
  <si>
    <t>鉄有固-運送施設 建物-木骨モルタル造-社宅・寮建物</t>
  </si>
  <si>
    <t>鉄有固-運送施設 建物-簡易建物(木製主要柱が10cm角以下で土居、杉皮ぶき等)-社宅・寮建物</t>
  </si>
  <si>
    <t>鉄有固-運送施設 建物-簡易建物(掘立造のもの及び仮設のもの)-社宅・寮建物</t>
  </si>
  <si>
    <t>鉄有固-運送施設 建物付属設備-電気設備(照明設備を含む)-蓄電池電源設備-社宅・寮建物</t>
  </si>
  <si>
    <t>鉄有固-運送施設 建物付属設備-電気設備(照明設備を含む)-その他のもの-社宅・寮建物</t>
  </si>
  <si>
    <t>鉄有固-運送施設 建物付属設備-給排水又は衛生設備及びガス設備-社宅・寮建物</t>
  </si>
  <si>
    <t>鉄有固-運送施設 建物付属設備-冷暖房・通風・ボイラー設備-22kw以下-社宅・寮建物</t>
  </si>
  <si>
    <t>鉄有固-運送施設 建物付属設備-冷暖房・通風・ボイラー設備-その他のもの-社宅・寮建物</t>
  </si>
  <si>
    <t>鉄有固-運送施設 建物付属設備-昇降機設備-エレベーター-社宅・寮建物</t>
  </si>
  <si>
    <t>鉄有固-運送施設 建物付属設備-昇降機設備-エスカレーター-社宅・寮建物</t>
  </si>
  <si>
    <t>鉄有固-運送施設 建物付属設備-消火・排煙・災害報知設備及び格納式避難設備-社宅・寮建物</t>
  </si>
  <si>
    <t>鉄有固-運送施設 建物付属設備-エヤーカーテン又はドアー自動開閉設備-社宅・寮建物</t>
  </si>
  <si>
    <t>鉄有固-運送施設 建物付属設備-アーケード又は日よけ設備-金属製-社宅・寮建物</t>
  </si>
  <si>
    <t>鉄有固-運送施設 建物付属設備-アーケード又は日よけ設備-その他のもの-社宅・寮建物</t>
  </si>
  <si>
    <t>鉄有固-運送施設 建物付属設備-店用簡易設備-社宅・寮建物</t>
  </si>
  <si>
    <t>鉄有固-運送施設 建物付属設備-可動簡易装備-簡易なもの-社宅・寮建物</t>
  </si>
  <si>
    <t>鉄有固-運送施設 建物付属設備-可動簡易装備-その他のもの-社宅・寮建物</t>
  </si>
  <si>
    <t>鉄有固-運送施設 建物付属設備-前掲以外・前掲区分外-主として金属製のもの-社宅・寮建物</t>
  </si>
  <si>
    <t>鉄有固-運送施設 建物付属設備-前掲以外・前掲区分外-その他のもの-社宅・寮建物</t>
  </si>
  <si>
    <t>鉄有固-運送施設 建物-雑建物-定額50年</t>
  </si>
  <si>
    <t>鉄有固-運送施設 建物-雑建物-定額47年</t>
  </si>
  <si>
    <t>鉄有固-運送施設 建物-雑建物-定額41年</t>
  </si>
  <si>
    <t>鉄有固-運送施設 建物-雑建物-定額39年</t>
  </si>
  <si>
    <t>鉄有固-運送施設 建物-雑建物-定額38年</t>
  </si>
  <si>
    <t>鉄有固-運送施設 建物-雑建物-定額36年</t>
  </si>
  <si>
    <t>鉄有固-運送施設 建物-雑建物-定額34年</t>
  </si>
  <si>
    <t>鉄有固-運送施設 建物-雑建物-定額31年</t>
  </si>
  <si>
    <t>鉄有固-運送施設 建物-雑建物-定額30年</t>
  </si>
  <si>
    <t>鉄有固-運送施設 建物-雑建物-定額29年</t>
  </si>
  <si>
    <t>鉄有固-運送施設 建物-雑建物-定額28年</t>
  </si>
  <si>
    <t>鉄有固-運送施設 建物-雑建物-定額27年</t>
  </si>
  <si>
    <t>鉄有固-運送施設 建物-雑建物-定額26年</t>
  </si>
  <si>
    <t>鉄有固-運送施設 建物-雑建物-定額25年</t>
  </si>
  <si>
    <t>鉄有固-運送施設 建物-雑建物-定額24年</t>
  </si>
  <si>
    <t>鉄有固-運送施設 建物-雑建物-定額22年</t>
  </si>
  <si>
    <t>鉄有固-運送施設 建物-雑建物-定額21年</t>
  </si>
  <si>
    <t>鉄有固-運送施設 建物-雑建物-定額20年</t>
  </si>
  <si>
    <t>鉄有固-運送施設 建物-雑建物-定額19年</t>
  </si>
  <si>
    <t>鉄有固-運送施設 建物-雑建物-定額17年</t>
  </si>
  <si>
    <t>鉄有固-運送施設 建物-雑建物-定額15年</t>
  </si>
  <si>
    <t>鉄有固-運送施設 建物-雑建物-定額14年</t>
  </si>
  <si>
    <t>鉄有固-運送施設 建物-雑建物-定額12年</t>
  </si>
  <si>
    <t>鉄有固-運送施設 建物-雑建物-定額11年</t>
  </si>
  <si>
    <t>鉄有固-運送施設 建物-雑建物-定額10年</t>
  </si>
  <si>
    <t>鉄有固-運送施設 建物-雑建物-定額09年</t>
  </si>
  <si>
    <t>鉄有固-運送施設 建物-雑建物-定額07年</t>
  </si>
  <si>
    <t>鉄有固-運送施設 建物付属設備-電気設備(照明設備を含む)-蓄電池電源設備-雑建物</t>
  </si>
  <si>
    <t>鉄有固-運送施設 建物付属設備-電気設備(照明設備を含む)-その他のもの-雑建物</t>
  </si>
  <si>
    <t>鉄有固-運送施設 建物付属設備-給排水又は衛生設備及びガス設備-雑建物</t>
  </si>
  <si>
    <t>鉄有固-運送施設 建物付属設備-冷暖房・通風・ボイラー設備-22kw以下-雑建物</t>
  </si>
  <si>
    <t>鉄有固-運送施設 建物付属設備-冷暖房・通風・ボイラー設備-その他のもの-雑建物</t>
  </si>
  <si>
    <t>鉄有固-運送施設 建物付属設備-昇降機設備-エレベーター-雑建物</t>
  </si>
  <si>
    <t>鉄有固-運送施設 建物付属設備-昇降機設備-エスカレーター-雑建物</t>
  </si>
  <si>
    <t>鉄有固-運送施設 建物付属設備-消火・排煙・災害報知設備及び格納式避難設備-雑建物</t>
  </si>
  <si>
    <t>鉄有固-運送施設 建物付属設備-エヤーカーテン又はドアー自動開閉設備-雑建物</t>
  </si>
  <si>
    <t>鉄有固-運送施設 建物付属設備-アーケード又は日よけ設備-金属製-雑建物</t>
  </si>
  <si>
    <t>鉄有固-運送施設 建物付属設備-アーケード又は日よけ設備-その他のもの-雑建物</t>
  </si>
  <si>
    <t>鉄有固-運送施設 建物付属設備-店用簡易設備-雑建物</t>
  </si>
  <si>
    <t>鉄有固-運送施設 建物付属設備-可動簡易装備-簡易なもの-雑建物</t>
  </si>
  <si>
    <t>鉄有固-運送施設 建物付属設備-可動簡易装備-その他のもの-雑建物</t>
  </si>
  <si>
    <t>鉄有固-運送施設 建物付属設備-前掲以外・前掲区分外-主として金属製のもの-雑建物</t>
  </si>
  <si>
    <t>鉄有固-運送施設 建物付属設備-前掲以外・前掲区分外-その他のもの-雑建物</t>
  </si>
  <si>
    <t>鉄有固-構築物-軌道-レール及び附属品</t>
  </si>
  <si>
    <t>鉄有固-構築物-軌道-分岐器</t>
  </si>
  <si>
    <t>鉄有固-構築物-軌道-まくら木(木製)</t>
  </si>
  <si>
    <t>鉄有固-構築物-軌道-まくら木(コンクリート製)</t>
  </si>
  <si>
    <t>鉄有固-構築物-軌道-まくら木(金属製)</t>
  </si>
  <si>
    <t>鉄有固-構築物-軌道-道床</t>
  </si>
  <si>
    <t>鉄有固-構築物-軌道-舗装</t>
  </si>
  <si>
    <t>鉄有固-構築物-軌道-諸標及び車止め</t>
  </si>
  <si>
    <t>鉄有固-構築物-土工-線路切取</t>
  </si>
  <si>
    <t>鉄有固-構築物-土工-線路築堤</t>
  </si>
  <si>
    <t>鉄有固-構築物-土工-川道付替</t>
  </si>
  <si>
    <t>鉄有固-構築物-土工-土留め</t>
  </si>
  <si>
    <t>鉄有固-構築物-橋りょう-鉄筋コンクリート造り</t>
  </si>
  <si>
    <t>鉄有固-構築物-橋りょう-鉄骨造り</t>
  </si>
  <si>
    <t>鉄有固-構築物-高架橋-鉄筋コンクリート造り</t>
  </si>
  <si>
    <t>鉄有固-構築物-トンネル-鉄筋コンクリート造り</t>
  </si>
  <si>
    <t>鉄有固-構築物-排水設備</t>
  </si>
  <si>
    <t>鉄有固-構築物-機械保安設備-機械信号機</t>
  </si>
  <si>
    <t>鉄有固-構築物-機械保安設備-諸設備</t>
  </si>
  <si>
    <t>鉄有固-構築物-プラットホーム及び積卸し場</t>
  </si>
  <si>
    <t>鉄有固-構築物-地下道</t>
  </si>
  <si>
    <t>鉄有固-構築物-通信線</t>
  </si>
  <si>
    <t>鉄有固-構築物-電話機</t>
  </si>
  <si>
    <t>鉄有固-構築物-電気時計</t>
  </si>
  <si>
    <t>鉄有固-構築物-拡声装置</t>
  </si>
  <si>
    <t>鉄有固-構築物-通信諸設備</t>
  </si>
  <si>
    <t>鉄有固-構築物-信号線</t>
  </si>
  <si>
    <t>鉄有固-構築物-閉そく装置</t>
  </si>
  <si>
    <t>鉄有固-構築物-電気信号機</t>
  </si>
  <si>
    <t>鉄有固-構築物-連動機</t>
  </si>
  <si>
    <t>鉄有固-構築物-転てつ器</t>
  </si>
  <si>
    <t>鉄有固-構築物-自動列車制御装置</t>
  </si>
  <si>
    <t>鉄有固-構築物-自動列車運転装置</t>
  </si>
  <si>
    <t>鉄有固-構築物-列車集中制御装置</t>
  </si>
  <si>
    <t>鉄有固-構築物-自動列車進路制御装置</t>
  </si>
  <si>
    <t>鉄有固-構築物-電気保安諸設備</t>
  </si>
  <si>
    <t>鉄有固-構築物-送電線</t>
  </si>
  <si>
    <t>鉄有固-構築物-配電線</t>
  </si>
  <si>
    <t>鉄有固-構築物-き電線</t>
  </si>
  <si>
    <t>鉄有固-構築物-電車線</t>
  </si>
  <si>
    <t>鉄有固-構築物-サードレール</t>
  </si>
  <si>
    <t>鉄有固-構築物-帰線ボンド</t>
  </si>
  <si>
    <t>鉄有固-構築物-電灯電力線</t>
  </si>
  <si>
    <t>鉄有固-構築物-電力線諸設備</t>
  </si>
  <si>
    <t>鉄有固-構築物-支持物-鉄柱及びコンクリート柱</t>
  </si>
  <si>
    <t>鉄有固-構築物-支持物-木柱</t>
  </si>
  <si>
    <t>鉄有固-構築物-支持物-その他の支持物(電柱及び腕木を除く)</t>
  </si>
  <si>
    <t>鉄有固-構築物-支持物-その他の支持物(腕木を含む)</t>
  </si>
  <si>
    <t>鉄有固-構築物-車庫工場</t>
  </si>
  <si>
    <t>鉄有固-構築物-変電所</t>
  </si>
  <si>
    <t>鉄有固-構築物-転、遷車台</t>
  </si>
  <si>
    <t>鉄有固-構築物-給油設備</t>
  </si>
  <si>
    <t>鉄有固-構築物-検車洗浄設備</t>
  </si>
  <si>
    <t>鉄有固-構築物-雑構築物</t>
  </si>
  <si>
    <t>鉄有固-車両-電動客車</t>
  </si>
  <si>
    <t>鉄有固-車両-制御客車</t>
  </si>
  <si>
    <t>鉄有固-車両-付随客車</t>
  </si>
  <si>
    <t>鉄有固-車両-特殊車両-線路建設保守用工作車</t>
  </si>
  <si>
    <t>鉄有固-機械装置-変電所機械</t>
  </si>
  <si>
    <t>鉄有固-機械装置-通信機械-交換設備</t>
  </si>
  <si>
    <t>鉄有固-機械装置-通信機械-無線設備</t>
  </si>
  <si>
    <t>鉄有固-機械装置-通信機械-搬送設備</t>
  </si>
  <si>
    <t>鉄有固-機械装置-通信機械-諸設備</t>
  </si>
  <si>
    <t>鉄有固-機械装置-停車場機械-その他の設備(主として金属製のもの)</t>
  </si>
  <si>
    <t>鉄有固-機械装置-停車場機械-その他の設備(その他のもの)</t>
  </si>
  <si>
    <t>鉄有固-機械装置-停車場機械-自動改札装置</t>
  </si>
  <si>
    <t>鉄有固-機械装置-工場機械</t>
  </si>
  <si>
    <t>鉄有固-機械装置-雑機械-その他の設備(主として金属製のもの)</t>
  </si>
  <si>
    <t>鉄有固-機械装置-雑機械-その他の設備(その他のもの)</t>
  </si>
  <si>
    <t>鉄有固-工具器具及び備品-工器備-測定工具・検査工具(電気・電子を利用するものを含む)</t>
  </si>
  <si>
    <t>鉄有固-工具器具及び備品-工器備-治具及び取付工具</t>
  </si>
  <si>
    <t>鉄有固-工具器具及び備品-工器備-ロール-金属圧延用のもの</t>
  </si>
  <si>
    <t>鉄有固-工具器具及び備品-工器備-ロール-なつ染・粉砕・混錬ロールその他のもの</t>
  </si>
  <si>
    <t>鉄有固-工具器具及び備品-工器備-型・鍛圧・打抜工具-ガラス成型用金型及び鋳造用型</t>
  </si>
  <si>
    <t>鉄有固-工具器具及び備品-工器備-型・鍛圧・打抜工具-その他のもの</t>
  </si>
  <si>
    <t>鉄有固-工具器具及び備品-工器備-切削工具</t>
  </si>
  <si>
    <t>鉄有固-工具器具及び備品-工器備-金属製柱及びカッペ</t>
  </si>
  <si>
    <t>鉄有固-工具器具及び備品-工器備-活字・活字に常用される金属-購入活字</t>
  </si>
  <si>
    <t>鉄有固-工具器具及び備品-工器備-活字・活字に常用される金属-自製活字</t>
  </si>
  <si>
    <t>鉄有固-工具器具及び備品-工器備-前掲以外-白金ノズル</t>
  </si>
  <si>
    <t>鉄有固-工具器具及び備品-工器備-前掲以外-その他のもの</t>
  </si>
  <si>
    <t>鉄有固-工具器具及び備品-工器備-前掲区分外-白金ノズル</t>
  </si>
  <si>
    <t>鉄有固-工具器具及び備品-工器備-前掲区分外-その他の主として金属製のもの</t>
  </si>
  <si>
    <t>鉄有固-工具器具及び備品-工器備-前掲区分外-その他のもの</t>
  </si>
  <si>
    <t>鉄有固-工具器具及び備品-工器備-家具・電気・ガス・家庭用品-事務机・いす(金属)</t>
  </si>
  <si>
    <t>鉄有固-工具器具及び備品-工器備-家具・電気・ガス・家庭用品-事務机・いす(その他)</t>
  </si>
  <si>
    <t>鉄有固-工具器具及び備品-工器備-家具・電気・ガス・家庭用品-応接セット(接客業用)</t>
  </si>
  <si>
    <t>鉄有固-工具器具及び備品-工器備-家具・電気・ガス・家庭用品-応接セット(その他)</t>
  </si>
  <si>
    <t>鉄有固-工具器具及び備品-工器備-家具・電気・ガス・家庭用品-ベット</t>
  </si>
  <si>
    <t>鉄有固-工具器具及び備品-工器備-家具・電気・ガス・家庭用品-児童用机及びいす</t>
  </si>
  <si>
    <t>鉄有固-工具器具及び備品-工器備-家具・電気・ガス・家庭用品-陳列棚(冷凍・冷蔵機付)</t>
  </si>
  <si>
    <t>鉄有固-工具器具及び備品-工器備-家具・電気・ガス・家庭用品-陳列棚(その他)</t>
  </si>
  <si>
    <t>鉄有固-工具器具及び備品-工器備-家具・電気・ガス・家庭用品-その他の家具(接客業用)</t>
  </si>
  <si>
    <t>鉄有固-工具器具及び備品-工器備-家具・電気・ガス・家庭用品-その他の家具(金属製)</t>
  </si>
  <si>
    <t>鉄有固-工具器具及び備品-工器備-家具・電気・ガス・家庭用品-その他の家具(その他)</t>
  </si>
  <si>
    <t>鉄有固-工具器具及び備品-工器備-家具・電気・ガス・家庭用品-その他の音響機器</t>
  </si>
  <si>
    <t>鉄有固-工具器具及び備品-工器備-家具・電気・ガス・家庭用品-冷房用又は暖房用機器</t>
  </si>
  <si>
    <t>鉄有固-工具器具及び備品-工器備-家具・電気・ガス・家庭用品-その他電気・ガス機器</t>
  </si>
  <si>
    <t>鉄有固-工具器具及び備品-工器備-家具・電気・ガス・家庭用品-氷冷蔵庫・冷蔵ストッカー</t>
  </si>
  <si>
    <t>鉄有固-工具器具及び備品-工器備-家具・電気・ガス・家庭用品-その他繊維製品</t>
  </si>
  <si>
    <t>鉄有固-工具器具及び備品-工器備-家具・電気・ガス・家庭用品-床用敷物(業務用)</t>
  </si>
  <si>
    <t>鉄有固-工具器具及び備品-工器備-家具・電気・ガス・家庭用品-床用敷物(その他)</t>
  </si>
  <si>
    <t>鉄有固-工具器具及び備品-工器備-家具・電気・ガス・家庭用品-室内装飾品(金属製)</t>
  </si>
  <si>
    <t>鉄有固-工具器具及び備品-工器備-家具・電気・ガス・家庭用品-室内装飾品(その他)</t>
  </si>
  <si>
    <t>鉄有固-工具器具及び備品-工器備-家具・電気・ガス・家庭用品-食事・厨房用品(陶磁器)</t>
  </si>
  <si>
    <t>鉄有固-工具器具及び備品-工器備-家具・電気・ガス・家庭用品-食事・厨房用品(その他)</t>
  </si>
  <si>
    <t>鉄有固-工具器具及び備品-工器備-家具・電気・ガス・家庭用品-その他のもの(金属製)</t>
  </si>
  <si>
    <t>鉄有固-工具器具及び備品-工器備-家具・電気・ガス・家庭用品-その他のもの(その他)</t>
  </si>
  <si>
    <t>鉄有固-工具器具及び備品-工器備-事務・通信機器-謄写機器・タイプライター(印書業用)</t>
  </si>
  <si>
    <t>鉄有固-工具器具及び備品-工器備-事務・通信機器-謄写機器・タイプライター(その他)</t>
  </si>
  <si>
    <t>鉄有固-工具器具及び備品-工器備-事務・通信機器-電子計算機(PC(サーバ用を除く))</t>
  </si>
  <si>
    <t>鉄有固-工具器具及び備品-工器備-事務・通信機器-電子計算機(その他)</t>
  </si>
  <si>
    <t>鉄有固-工具器具及び備品-工器備-事務・通信機器-複写機・計算機・金銭登録機</t>
  </si>
  <si>
    <t>鉄有固-工具器具及び備品-工器備-事務・通信機器-その他の事務機器</t>
  </si>
  <si>
    <t>鉄有固-工具器具及び備品-工器備-事務・通信機器-テレタイプライター及びファクシミリ</t>
  </si>
  <si>
    <t>鉄有固-工具器具及び備品-工器備-事務・通信機器-インターホーン及び放送用設備</t>
  </si>
  <si>
    <t>鉄有固-工具器具及び備品-工器備-事務・通信機器-その他の通信機器(デジタル構内交換)</t>
  </si>
  <si>
    <t>鉄有固-工具器具及び備品-工器備-事務・通信機器-その他の通信機器(その他のもの)</t>
  </si>
  <si>
    <t>鉄有固-工具器具及び備品-工器備-時計、試験機器及び測定機器-時計</t>
  </si>
  <si>
    <t>鉄有固-工具器具及び備品-工器備-時計、試験機器及び測定機器-度量衝器</t>
  </si>
  <si>
    <t>鉄有固-工具器具及び備品-工器備-時計、試験機器及び測定機器-試験又は測定機器</t>
  </si>
  <si>
    <t>鉄有固-工具器具及び備品-工器備-光学・写真製作機器-オペラグラス</t>
  </si>
  <si>
    <t>鉄有固-工具器具及び備品-工器備-光学・写真製作機器-カメラ、映画撮影機、映写機</t>
  </si>
  <si>
    <t>鉄有固-工具器具及び備品-工器備-光学・写真製作機器-その他の機器</t>
  </si>
  <si>
    <t>鉄有固-工具器具及び備品-工器備-看板・広告機器-看板、ネオンサイン及び気球</t>
  </si>
  <si>
    <t>鉄有固-工具器具及び備品-工器備-看板・広告機器-マネキン人形及び模型</t>
  </si>
  <si>
    <t>鉄有固-工具器具及び備品-工器備-看板・広告機器-その他のもの(主として金属製のもの)</t>
  </si>
  <si>
    <t>鉄有固-工具器具及び備品-工器備-看板・広告機器-その他のもの(その他のもの)</t>
  </si>
  <si>
    <t>鉄有固-工具器具及び備品-工器備-容器・金庫-ボンベ(溶接製のもの</t>
  </si>
  <si>
    <t>鉄有固-工具器具及び備品-工器備-容器・金庫-ボンベ(鍛造製)(塩素用のもの)</t>
  </si>
  <si>
    <t>鉄有固-工具器具及び備品-工器備-容器・金庫-ボンベ(鍛造製)(その他のもの)</t>
  </si>
  <si>
    <t>鉄有固-工具器具及び備品-工器備-容器・金庫-その他容器(コンテナ(長さが6m以上))</t>
  </si>
  <si>
    <t>鉄有固-工具器具及び備品-工器備-容器・金庫-その他の容器(金属製のもの)</t>
  </si>
  <si>
    <t>鉄有固-工具器具及び備品-工器備-容器・金庫-その他の容器(その他のもの)</t>
  </si>
  <si>
    <t>鉄有固-工具器具及び備品-工器備-容器・金庫-金庫(手さげ金庫)</t>
  </si>
  <si>
    <t>鉄有固-工具器具及び備品-工器備-容器・金庫-金庫(その他のもの)</t>
  </si>
  <si>
    <t>鉄有固-工具器具及び備品-工器備-医療機器-消毒殺菌用機器</t>
  </si>
  <si>
    <t>鉄有固-工具器具及び備品-工器備-医療機器-手術機器</t>
  </si>
  <si>
    <t>鉄有固-工具器具及び備品-工器備-医療機器-血液透析又は血しょう交換用機器</t>
  </si>
  <si>
    <t>鉄有固-工具器具及び備品-工器備-医療機器-その他の作動部分を有する機能回復訓練機器</t>
  </si>
  <si>
    <t>鉄有固-工具器具及び備品-工器備-医療機器-調剤機器</t>
  </si>
  <si>
    <t>鉄有固-工具器具及び備品-工器備-医療機器-歯科診療用ユニット</t>
  </si>
  <si>
    <t>鉄有固-工具器具及び備品-工器備-医療機器-光学検査機器(ファイバースコープ)</t>
  </si>
  <si>
    <t>鉄有固-工具器具及び備品-工器備-医療機器-光学検査機器(その他のもの)</t>
  </si>
  <si>
    <t>鉄有固-工具器具及び備品-工器備-医療機器-その他の電子装置を使用する機器(移動式)</t>
  </si>
  <si>
    <t>鉄有固-工具器具及び備品-工器備-医療機器-その他の電子装置を使用する機器(その他)</t>
  </si>
  <si>
    <t>鉄有固-工具器具及び備品-工器備-医療機器-その他のもの(陶磁器製又はガラス製のもの)</t>
  </si>
  <si>
    <t>鉄有固-工具器具及び備品-工器備-医療機器-その他のもの(主として金属製のもの)</t>
  </si>
  <si>
    <t>鉄有固-工具器具及び備品-工器備-医療機器-その他のもの(その他のもの)</t>
  </si>
  <si>
    <t>鉄有固-工具器具及び備品-工器備-前掲以外-映画フイルム・磁気テープ・レコード</t>
  </si>
  <si>
    <t>鉄有固-工具器具及び備品-工器備-前掲以外-シート及びロープ</t>
  </si>
  <si>
    <t>鉄有固-工具器具及び備品-工器備-前掲以外-きのこ栽培用ほだ木</t>
  </si>
  <si>
    <t>鉄有固-工具器具及び備品-工器備-前掲以外-漁具</t>
  </si>
  <si>
    <t>鉄有固-工具器具及び備品-工器備-前掲以外-葬儀用具</t>
  </si>
  <si>
    <t>鉄有固-工具器具及び備品-工器備-前掲以外-楽器</t>
  </si>
  <si>
    <t>鉄有固-工具器具及び備品-工器備-前掲以外-自動販売機(手動のものを含む。)</t>
  </si>
  <si>
    <t>鉄有固-工具器具及び備品-工器備-前掲以外-無人駐車管理装置</t>
  </si>
  <si>
    <t>鉄有固-工具器具及び備品-工器備-前掲以外-焼却炉</t>
  </si>
  <si>
    <t>鉄有固-工具器具及び備品-工器備-前掲以外-その他のもの(主として金属製のもの)</t>
  </si>
  <si>
    <t>鉄有固-工具器具及び備品-工器備-前掲以外-その他のもの(その他のもの)</t>
  </si>
  <si>
    <t>鉄有固-工具器具及び備品-運搬具-前掲以外-自動車-小型車(総排気量が0.66l以下)</t>
  </si>
  <si>
    <t>鉄有固-工具器具及び備品-運搬具-前掲以外-自動車-その他-貨物自動車-ダンプ式のもの</t>
  </si>
  <si>
    <t>鉄有固-工具器具及び備品-運搬具-前掲以外-自動車-その他-貨物自動車-その他のもの</t>
  </si>
  <si>
    <t>鉄有固-工具器具及び備品-運搬具-前掲以外-自動車-その他-報道通信用のもの</t>
  </si>
  <si>
    <t>鉄有固-工具器具及び備品-運搬具-前掲以外-自動車-その他-その他</t>
  </si>
  <si>
    <t>鉄有固-工具器具及び備品-運搬具-前掲以外-２輪又は３輪自動車</t>
  </si>
  <si>
    <t>鉄有固-工具器具及び備品-運搬具-前掲以外-自転車</t>
  </si>
  <si>
    <t>鉄有固-工具器具及び備品-運搬具-前掲以外-鉱山用人車、炭車、鉱車及び台車-金属製</t>
  </si>
  <si>
    <t>鉄有固-工具器具及び備品-運搬具-前掲以外-鉱山用人車、炭車、鉱車及び台車-その他</t>
  </si>
  <si>
    <t>鉄有固-工具器具及び備品-運搬具-前掲以外-フォークリフト</t>
  </si>
  <si>
    <t>鉄有固-工具器具及び備品-運搬具-前掲以外-トロッコ-金属製のもの</t>
  </si>
  <si>
    <t>鉄有固-工具器具及び備品-運搬具-前掲以外-トロッコ-その他のもの</t>
  </si>
  <si>
    <t>鉄有固-工具器具及び備品-運搬具-前掲以外-その他のもの-自走能力を有するもの</t>
  </si>
  <si>
    <t>鉄有固-工具器具及び備品-運搬具-前掲以外-その他のもの-その他のもの</t>
  </si>
  <si>
    <t>鉄有固-リース資産-土地</t>
  </si>
  <si>
    <t>鉄有固-リース資産-建物</t>
  </si>
  <si>
    <t>鉄有固-リース資産-構築物</t>
  </si>
  <si>
    <t>鉄有固-リース資産-車両</t>
  </si>
  <si>
    <t>鉄有固-リース資産-機械装置</t>
  </si>
  <si>
    <t>鉄有固-リース資産-工具器具及び備品</t>
  </si>
  <si>
    <t>鉄有固-運送施設 雑施設</t>
  </si>
  <si>
    <t>鉄有固-案内宣伝施設 土地-線路及び停車場用地</t>
  </si>
  <si>
    <t>鉄有固-案内宣伝施設 土地-変電所用地</t>
  </si>
  <si>
    <t>鉄有固-案内宣伝施設 土地-車庫及び工場用地</t>
  </si>
  <si>
    <t>鉄有固-案内宣伝施設 土地-倉庫用地</t>
  </si>
  <si>
    <t>鉄有固-案内宣伝施設 土地-事務所用地</t>
  </si>
  <si>
    <t>鉄有固-案内宣伝施設 土地-社宅及び寮用地</t>
  </si>
  <si>
    <t>鉄有固-案内宣伝施設 土地-雑用地</t>
  </si>
  <si>
    <t>鉄有固-案内宣伝施設 建物-鉄骨鉄筋コンクリート造又は鉄筋コンクリート造-停車場建物</t>
  </si>
  <si>
    <t>鉄有固-案内宣伝施設 建物-れんが造、石造又はブロック造-停車場建物</t>
  </si>
  <si>
    <t>鉄有固-案内宣伝施設 建物-金属造(骨格材の肉厚が4mm超)-停車場建物</t>
  </si>
  <si>
    <t>鉄有固-案内宣伝施設 建物-金属造(骨格材の肉厚が3mm超4mm以下)-停車場建物</t>
  </si>
  <si>
    <t>鉄有固-案内宣伝施設 建物-金属造(骨格材の肉厚が3mm以下)-停車場建物</t>
  </si>
  <si>
    <t>鉄有固-案内宣伝施設 建物-木造又は合成樹脂造-停車場建物</t>
  </si>
  <si>
    <t>鉄有固-案内宣伝施設 建物-木骨モルタル造-停車場建物</t>
  </si>
  <si>
    <t>鉄有固-案内宣伝施設 建物-簡易建物(木製主要柱が10cm角以下で土居、杉皮ぶき等)-停車場建物</t>
  </si>
  <si>
    <t>鉄有固-案内宣伝施設 建物-簡易建物(掘立造のもの及び仮設のもの)-停車場建物</t>
  </si>
  <si>
    <t>鉄有固-案内宣伝施設 建物付属-電気設備(照明設備を含む)-蓄電池電源設備-停車場建物</t>
  </si>
  <si>
    <t>鉄有固-案内宣伝施設 建物付属-電気設備(照明設備を含む)-その他のもの-停車場建物</t>
  </si>
  <si>
    <t>鉄有固-案内宣伝施設 建物付属-給排水又は衛生設備及びガス設備-停車場建物</t>
  </si>
  <si>
    <t>鉄有固-案内宣伝施設 建物付属-冷暖房・通風・ボイラー設備-22kw以下-停車場建物</t>
  </si>
  <si>
    <t>鉄有固-案内宣伝施設 建物付属-冷暖房・通風・ボイラー設備-その他のもの-停車場建物</t>
  </si>
  <si>
    <t>鉄有固-案内宣伝施設 建物付属-昇降機設備-エレベーター-停車場建物</t>
  </si>
  <si>
    <t>鉄有固-案内宣伝施設 建物付属-昇降機設備-エスカレーター-停車場建物</t>
  </si>
  <si>
    <t>鉄有固-案内宣伝施設 建物付属-消火・排煙・災害報知設備及び格納式避難設備-停車場建物</t>
  </si>
  <si>
    <t>鉄有固-案内宣伝施設 建物付属-エヤーカーテン又はドアー自動開閉設備-停車場建物</t>
  </si>
  <si>
    <t>鉄有固-案内宣伝施設 建物付属-アーケード又は日よけ設備-金属製-停車場建物</t>
  </si>
  <si>
    <t>鉄有固-案内宣伝施設 建物付属-アーケード又は日よけ設備-その他のもの-停車場建物</t>
  </si>
  <si>
    <t>鉄有固-案内宣伝施設 建物付属-店用簡易設備-停車場建物</t>
  </si>
  <si>
    <t>鉄有固-案内宣伝施設 建物付属-可動簡易装備-簡易なもの-停車場建物</t>
  </si>
  <si>
    <t>鉄有固-案内宣伝施設 建物付属-可動簡易装備-その他のもの-停車場建物</t>
  </si>
  <si>
    <t>鉄有固-案内宣伝施設 建物付属-前掲以外・前掲区分外-主として金属製のもの-停車場建物</t>
  </si>
  <si>
    <t>鉄有固-案内宣伝施設 建物付属-前掲以外・前掲区分外-その他のもの-停車場建物</t>
  </si>
  <si>
    <t>鉄有固-案内宣伝施設 建物-鉄骨鉄筋コンクリート造又は鉄筋コンクリート造-変電所建物</t>
  </si>
  <si>
    <t>鉄有固-案内宣伝施設 建物-れんが造、石造又はブロック造-変電所建物</t>
  </si>
  <si>
    <t>鉄有固-案内宣伝施設 建物-金属造(骨格材の肉厚が4mm超)-変電所建物</t>
  </si>
  <si>
    <t>鉄有固-案内宣伝施設 建物-金属造(骨格材の肉厚が3mm超4mm以下)-変電所建物</t>
  </si>
  <si>
    <t>鉄有固-案内宣伝施設 建物-金属造(骨格材の肉厚が3mm以下)-変電所建物</t>
  </si>
  <si>
    <t>鉄有固-案内宣伝施設 建物-木造又は合成樹脂造-変電所建物</t>
  </si>
  <si>
    <t>鉄有固-案内宣伝施設 建物-木骨モルタル造-変電所建物</t>
  </si>
  <si>
    <t>鉄有固-案内宣伝施設 建物-簡易建物(木製主要柱が10cm角以下で土居、杉皮ぶき等)-変電所建物</t>
  </si>
  <si>
    <t>鉄有固-案内宣伝施設 建物-簡易建物(掘立造のもの及び仮設のもの)-変電所建物</t>
  </si>
  <si>
    <t>鉄有固-案内宣伝施設 建物付属-電気設備(照明設備を含む)-蓄電池電源設備-変電所建物</t>
  </si>
  <si>
    <t>鉄有固-案内宣伝施設 建物付属-電気設備(照明設備を含む)-その他のもの-変電所建物</t>
  </si>
  <si>
    <t>鉄有固-案内宣伝施設 建物付属-給排水又は衛生設備及びガス設備-変電所建物</t>
  </si>
  <si>
    <t>鉄有固-案内宣伝施設 建物付属-冷暖房・通風・ボイラー設備-22kw以下-変電所建物</t>
  </si>
  <si>
    <t>鉄有固-案内宣伝施設 建物付属-冷暖房・通風・ボイラー設備-その他のもの-変電所建物</t>
  </si>
  <si>
    <t>鉄有固-案内宣伝施設 建物付属-昇降機設備-エレベーター-変電所建物</t>
  </si>
  <si>
    <t>鉄有固-案内宣伝施設 建物付属-昇降機設備-エスカレーター-変電所建物</t>
  </si>
  <si>
    <t>鉄有固-案内宣伝施設 建物付属-消火・排煙・災害報知設備及び格納式避難設備-変電所建物</t>
  </si>
  <si>
    <t>鉄有固-案内宣伝施設 建物付属-エヤーカーテン又はドアー自動開閉設備-変電所建物</t>
  </si>
  <si>
    <t>鉄有固-案内宣伝施設 建物付属-アーケード又は日よけ設備-金属製-変電所建物</t>
  </si>
  <si>
    <t>鉄有固-案内宣伝施設 建物付属-アーケード又は日よけ設備-その他のもの-変電所建物</t>
  </si>
  <si>
    <t>鉄有固-案内宣伝施設 建物付属-店用簡易設備-変電所建物</t>
  </si>
  <si>
    <t>鉄有固-案内宣伝施設 建物付属-可動簡易装備-簡易なもの-変電所建物</t>
  </si>
  <si>
    <t>鉄有固-案内宣伝施設 建物付属-可動簡易装備-その他のもの-変電所建物</t>
  </si>
  <si>
    <t>鉄有固-案内宣伝施設 建物付属-前掲以外・前掲区分外-主として金属製のもの-変電所建物</t>
  </si>
  <si>
    <t>鉄有固-案内宣伝施設 建物付属-前掲以外・前掲区分外-その他のもの-変電所建物</t>
  </si>
  <si>
    <t>鉄有固-案内宣伝施設 建物-鉄骨鉄筋コンクリート造又は鉄筋コンクリート造-車庫・工場</t>
  </si>
  <si>
    <t>鉄有固-案内宣伝施設 建物-れんが造、石造又はブロック造-車庫・工場</t>
  </si>
  <si>
    <t>鉄有固-案内宣伝施設 建物-金属造(骨格材の肉厚が4mm超)-車庫・工場</t>
  </si>
  <si>
    <t>鉄有固-案内宣伝施設 建物-金属造(骨格材の肉厚が3mm超4mm以下)-車庫・工場</t>
  </si>
  <si>
    <t>鉄有固-案内宣伝施設 建物-金属造(骨格材の肉厚が3mm以下)-車庫・工場</t>
  </si>
  <si>
    <t>鉄有固-案内宣伝施設 建物-木造又は合成樹脂造-車庫・工場</t>
  </si>
  <si>
    <t>鉄有固-案内宣伝施設 建物-木骨モルタル造-車庫・工場</t>
  </si>
  <si>
    <t>鉄有固-案内宣伝施設 建物-簡易建物(木製主要柱が10cm角以下で土居、杉皮ぶき等)-車庫・工場</t>
  </si>
  <si>
    <t>鉄有固-案内宣伝施設 建物-簡易建物(掘立造のもの及び仮設のもの)-車庫・工場</t>
  </si>
  <si>
    <t>鉄有固-案内宣伝施設 建物付属-電気設備(照明設備を含む)-蓄電池電源設備-車庫・工場</t>
  </si>
  <si>
    <t>鉄有固-案内宣伝施設 建物付属-電気設備(照明設備を含む)-その他のもの-車庫・工場</t>
  </si>
  <si>
    <t>鉄有固-案内宣伝施設 建物付属-給排水又は衛生設備及びガス設備-車庫・工場</t>
  </si>
  <si>
    <t>鉄有固-案内宣伝施設 建物付属-冷暖房・通風・ボイラー設備-22kw以下-車庫・工場</t>
  </si>
  <si>
    <t>鉄有固-案内宣伝施設 建物付属-冷暖房・通風・ボイラー設備-その他のもの-車庫・工場</t>
  </si>
  <si>
    <t>鉄有固-案内宣伝施設 建物付属-昇降機設備-エレベーター-車庫・工場</t>
  </si>
  <si>
    <t>鉄有固-案内宣伝施設 建物付属-昇降機設備-エスカレーター-車庫・工場</t>
  </si>
  <si>
    <t>鉄有固-案内宣伝施設 建物付属-消火・排煙・災害報知設備及び格納式避難設備-車庫・工場</t>
  </si>
  <si>
    <t>鉄有固-案内宣伝施設 建物付属-エヤーカーテン又はドアー自動開閉設備-車庫・工場</t>
  </si>
  <si>
    <t>鉄有固-案内宣伝施設 建物付属-アーケード又は日よけ設備-金属製-車庫・工場</t>
  </si>
  <si>
    <t>鉄有固-案内宣伝施設 建物付属-アーケード又は日よけ設備-その他のもの-車庫・工場</t>
  </si>
  <si>
    <t>鉄有固-案内宣伝施設 建物付属-店用簡易設備-車庫・工場</t>
  </si>
  <si>
    <t>鉄有固-案内宣伝施設 建物付属-可動簡易装備-簡易なもの-車庫・工場</t>
  </si>
  <si>
    <t>鉄有固-案内宣伝施設 建物付属-可動簡易装備-その他のもの-車庫・工場</t>
  </si>
  <si>
    <t>鉄有固-案内宣伝施設 建物付属-前掲以外・前掲区分外-主として金属製のもの-車庫・工場</t>
  </si>
  <si>
    <t>鉄有固-案内宣伝施設 建物付属-前掲以外・前掲区分外-その他のもの-車庫・工場</t>
  </si>
  <si>
    <t>鉄有固-案内宣伝施設 建物-鉄骨鉄筋コンクリート造又は鉄筋コンクリート造-倉庫建物</t>
  </si>
  <si>
    <t>鉄有固-案内宣伝施設 建物-れんが造、石造又はブロック造-倉庫建物</t>
  </si>
  <si>
    <t>鉄有固-案内宣伝施設 建物-金属造(骨格材の肉厚が4mm超)-倉庫建物</t>
  </si>
  <si>
    <t>鉄有固-案内宣伝施設 建物-金属造(骨格材の肉厚が3mm超4mm以下)-倉庫建物</t>
  </si>
  <si>
    <t>鉄有固-案内宣伝施設 建物-金属造(骨格材の肉厚が3mm以下)-倉庫建物</t>
  </si>
  <si>
    <t>鉄有固-案内宣伝施設 建物-木造又は合成樹脂造-倉庫建物</t>
  </si>
  <si>
    <t>鉄有固-案内宣伝施設 建物-木骨モルタル造-倉庫建物</t>
  </si>
  <si>
    <t>鉄有固-案内宣伝施設 建物-簡易建物(木製主要柱が10cm角以下で土居、杉皮ぶき等)-倉庫建物</t>
  </si>
  <si>
    <t>鉄有固-案内宣伝施設 建物-簡易建物(掘立造のもの及び仮設のもの)-倉庫建物</t>
  </si>
  <si>
    <t>鉄有固-案内宣伝施設 建物付属-電気設備(照明設備を含む)-蓄電池電源設備-倉庫建物</t>
  </si>
  <si>
    <t>鉄有固-案内宣伝施設 建物付属-電気設備(照明設備を含む)-その他のもの-倉庫建物</t>
  </si>
  <si>
    <t>鉄有固-案内宣伝施設 建物付属-給排水又は衛生設備及びガス設備-倉庫建物</t>
  </si>
  <si>
    <t>鉄有固-案内宣伝施設 建物付属-冷暖房・通風・ボイラー設備-22kw以下-倉庫建物</t>
  </si>
  <si>
    <t>鉄有固-案内宣伝施設 建物付属-冷暖房・通風・ボイラー設備-その他のもの-倉庫建物</t>
  </si>
  <si>
    <t>鉄有固-案内宣伝施設 建物付属-昇降機設備-エレベーター-倉庫建物</t>
  </si>
  <si>
    <t>鉄有固-案内宣伝施設 建物付属-昇降機設備-エスカレーター-倉庫建物</t>
  </si>
  <si>
    <t>鉄有固-案内宣伝施設 建物付属-消火・排煙・災害報知設備及び格納式避難設備-倉庫建物</t>
  </si>
  <si>
    <t>鉄有固-案内宣伝施設 建物付属-エヤーカーテン又はドアー自動開閉設備-倉庫建物</t>
  </si>
  <si>
    <t>鉄有固-案内宣伝施設 建物付属-アーケード又は日よけ設備-金属製-倉庫建物</t>
  </si>
  <si>
    <t>鉄有固-案内宣伝施設 建物付属-アーケード又は日よけ設備-その他のもの-倉庫建物</t>
  </si>
  <si>
    <t>鉄有固-案内宣伝施設 建物付属-店用簡易設備-倉庫建物</t>
  </si>
  <si>
    <t>鉄有固-案内宣伝施設 建物付属-可動簡易装備-簡易なもの-倉庫建物</t>
  </si>
  <si>
    <t>鉄有固-案内宣伝施設 建物付属-可動簡易装備-その他のもの-倉庫建物</t>
  </si>
  <si>
    <t>鉄有固-案内宣伝施設 建物付属-前掲以外・前掲区分外-主として金属製のもの-倉庫建物</t>
  </si>
  <si>
    <t>鉄有固-案内宣伝施設 建物付属-前掲以外・前掲区分外-その他のもの-倉庫建物</t>
  </si>
  <si>
    <t>鉄有固-案内宣伝施設 建物-鉄骨鉄筋コンクリート造又は鉄筋コンクリート造-詰所建物</t>
  </si>
  <si>
    <t>鉄有固-案内宣伝施設 建物-れんが造、石造又はブロック造-詰所建物</t>
  </si>
  <si>
    <t>鉄有固-案内宣伝施設 建物-金属造(骨格材の肉厚が4mm超)-詰所建物</t>
  </si>
  <si>
    <t>鉄有固-案内宣伝施設 建物-金属造(骨格材の肉厚が3mm超4mm以下)-詰所建物</t>
  </si>
  <si>
    <t>鉄有固-案内宣伝施設 建物-金属造(骨格材の肉厚が3mm以下)-詰所建物</t>
  </si>
  <si>
    <t>鉄有固-案内宣伝施設 建物-木造又は合成樹脂造-詰所建物</t>
  </si>
  <si>
    <t>鉄有固-案内宣伝施設 建物-木骨モルタル造-詰所建物</t>
  </si>
  <si>
    <t>鉄有固-案内宣伝施設 建物-簡易建物(木製主要柱が10cm角以下で土居、杉皮ぶき等)-詰所建物</t>
  </si>
  <si>
    <t>鉄有固-案内宣伝施設 建物-簡易建物(掘立造のもの及び仮設のもの)-詰所建物</t>
  </si>
  <si>
    <t>鉄有固-案内宣伝施設 建物付属-電気設備(照明設備を含む)-蓄電池電源設備-詰所建物</t>
  </si>
  <si>
    <t>鉄有固-案内宣伝施設 建物付属-電気設備(照明設備を含む)-その他のもの-詰所建物</t>
  </si>
  <si>
    <t>鉄有固-案内宣伝施設 建物付属-給排水又は衛生設備及びガス設備-詰所建物</t>
  </si>
  <si>
    <t>鉄有固-案内宣伝施設 建物付属-冷暖房・通風・ボイラー設備-22kw以下-詰所建物</t>
  </si>
  <si>
    <t>鉄有固-案内宣伝施設 建物付属-冷暖房・通風・ボイラー設備-その他のもの-詰所建物</t>
  </si>
  <si>
    <t>鉄有固-案内宣伝施設 建物付属-昇降機設備-エレベーター-詰所建物</t>
  </si>
  <si>
    <t>鉄有固-案内宣伝施設 建物付属-昇降機設備-エスカレーター-詰所建物</t>
  </si>
  <si>
    <t>鉄有固-案内宣伝施設 建物付属-消火・排煙・災害報知設備及び格納式避難設備-詰所建物</t>
  </si>
  <si>
    <t>鉄有固-案内宣伝施設 建物付属-エヤーカーテン又はドアー自動開閉設備-詰所建物</t>
  </si>
  <si>
    <t>鉄有固-案内宣伝施設 建物付属-アーケード又は日よけ設備-金属製-詰所建物</t>
  </si>
  <si>
    <t>鉄有固-案内宣伝施設 建物付属-アーケード又は日よけ設備-その他のもの-詰所建物</t>
  </si>
  <si>
    <t>鉄有固-案内宣伝施設 建物付属-店用簡易設備-詰所建物</t>
  </si>
  <si>
    <t>鉄有固-案内宣伝施設 建物付属-可動簡易装備-簡易なもの-詰所建物</t>
  </si>
  <si>
    <t>鉄有固-案内宣伝施設 建物付属-可動簡易装備-その他のもの-詰所建物</t>
  </si>
  <si>
    <t>鉄有固-案内宣伝施設 建物付属-前掲以外・前掲区分外-主として金属製のもの-詰所建物</t>
  </si>
  <si>
    <t>鉄有固-案内宣伝施設 建物付属-前掲以外・前掲区分外-その他のもの-詰所建物</t>
  </si>
  <si>
    <t>鉄有固-案内宣伝施設 建物-鉄骨鉄筋コンクリート造又は鉄筋コンクリート造-事務所建物</t>
  </si>
  <si>
    <t>鉄有固-案内宣伝施設 建物-れんが造、石造又はブロック造-事務所建物</t>
  </si>
  <si>
    <t>鉄有固-案内宣伝施設 建物-金属造(骨格材の肉厚が4mm超)-事務所建物</t>
  </si>
  <si>
    <t>鉄有固-案内宣伝施設 建物-金属造(骨格材の肉厚が3mm超4mm以下)-事務所建物</t>
  </si>
  <si>
    <t>鉄有固-案内宣伝施設 建物-金属造(骨格材の肉厚が3mm以下)-事務所建物</t>
  </si>
  <si>
    <t>鉄有固-案内宣伝施設 建物-木造又は合成樹脂造-事務所建物</t>
  </si>
  <si>
    <t>鉄有固-案内宣伝施設 建物-木骨モルタル造-事務所建物</t>
  </si>
  <si>
    <t>鉄有固-案内宣伝施設 建物-簡易建物(木製主要柱が10cm角以下で土居、杉皮ぶき等)-事務所建物</t>
  </si>
  <si>
    <t>鉄有固-案内宣伝施設 建物-簡易建物(掘立造のもの及び仮設のもの)-事務所建物</t>
  </si>
  <si>
    <t>鉄有固-案内宣伝施設 建物付属-電気設備(照明設備を含む)-蓄電池電源設備-事務所建物</t>
  </si>
  <si>
    <t>鉄有固-案内宣伝施設 建物付属-電気設備(照明設備を含む)-その他のもの-事務所建物</t>
  </si>
  <si>
    <t>鉄有固-案内宣伝施設 建物付属-給排水又は衛生設備及びガス設備-事務所建物</t>
  </si>
  <si>
    <t>鉄有固-案内宣伝施設 建物付属-冷暖房・通風・ボイラー設備-22kw以下-事務所建物</t>
  </si>
  <si>
    <t>鉄有固-案内宣伝施設 建物付属-冷暖房・通風・ボイラー設備-その他のもの-事務所建物</t>
  </si>
  <si>
    <t>鉄有固-案内宣伝施設 建物付属-昇降機設備-エレベーター-事務所建物</t>
  </si>
  <si>
    <t>鉄有固-案内宣伝施設 建物付属-昇降機設備-エスカレーター-事務所建物</t>
  </si>
  <si>
    <t>鉄有固-案内宣伝施設 建物付属-消火・排煙・災害報知設備及び格納式避難設備-事務所建物</t>
  </si>
  <si>
    <t>鉄有固-案内宣伝施設 建物付属-エヤーカーテン又はドアー自動開閉設備-事務所建物</t>
  </si>
  <si>
    <t>鉄有固-案内宣伝施設 建物付属-アーケード又は日よけ設備-金属製-事務所建物</t>
  </si>
  <si>
    <t>鉄有固-案内宣伝施設 建物付属-アーケード又は日よけ設備-その他のもの-事務所建物</t>
  </si>
  <si>
    <t>鉄有固-案内宣伝施設 建物付属-店用簡易設備-事務所建物</t>
  </si>
  <si>
    <t>鉄有固-案内宣伝施設 建物付属-可動簡易装備-簡易なもの-事務所建物</t>
  </si>
  <si>
    <t>鉄有固-案内宣伝施設 建物付属-可動簡易装備-その他のもの-事務所建物</t>
  </si>
  <si>
    <t>鉄有固-案内宣伝施設 建物付属-前掲以外・前掲区分外-主として金属製のもの-事務所建物</t>
  </si>
  <si>
    <t>鉄有固-案内宣伝施設 建物付属-前掲以外・前掲区分外-その他のもの-事務所建物</t>
  </si>
  <si>
    <t>鉄有固-案内宣伝施設 建物-鉄骨鉄筋コンクリート造又は鉄筋コンクリート造-社宅・寮建物</t>
  </si>
  <si>
    <t>鉄有固-案内宣伝施設 建物-れんが造、石造又はブロック造-社宅・寮建物</t>
  </si>
  <si>
    <t>鉄有固-案内宣伝施設 建物-金属造(骨格材の肉厚が4mm超)-社宅・寮建物</t>
  </si>
  <si>
    <t>鉄有固-案内宣伝施設 建物-金属造(骨格材の肉厚が3mm超4mm以下)-社宅・寮建物</t>
  </si>
  <si>
    <t>鉄有固-案内宣伝施設 建物-金属造(骨格材の肉厚が3mm以下)-社宅・寮建物</t>
  </si>
  <si>
    <t>鉄有固-案内宣伝施設 建物-木造又は合成樹脂造-社宅・寮建物</t>
  </si>
  <si>
    <t>鉄有固-案内宣伝施設 建物-木骨モルタル造-社宅・寮建物</t>
  </si>
  <si>
    <t>鉄有固-案内宣伝施設 建物-簡易建物(掘立造のもの及び仮設のもの)-社宅・寮建物</t>
  </si>
  <si>
    <t>鉄有固-案内宣伝施設 建物付属-電気設備(照明設備を含む)-蓄電池電源設備-社宅・寮建物</t>
  </si>
  <si>
    <t>鉄有固-案内宣伝施設 建物付属-電気設備(照明設備を含む)-その他のもの-社宅・寮建物</t>
  </si>
  <si>
    <t>鉄有固-案内宣伝施設 建物付属-給排水又は衛生設備及びガス設備-社宅・寮建物</t>
  </si>
  <si>
    <t>鉄有固-案内宣伝施設 建物付属-冷暖房・通風・ボイラー設備-22kw以下-社宅・寮建物</t>
  </si>
  <si>
    <t>鉄有固-案内宣伝施設 建物付属-冷暖房・通風・ボイラー設備-その他のもの-社宅・寮建物</t>
  </si>
  <si>
    <t>鉄有固-案内宣伝施設 建物付属-昇降機設備-エレベーター-社宅・寮建物</t>
  </si>
  <si>
    <t>鉄有固-案内宣伝施設 建物付属-昇降機設備-エスカレーター-社宅・寮建物</t>
  </si>
  <si>
    <t>鉄有固-案内宣伝施設 建物付属-消火・排煙・災害報知設備及び格納式避難設備-社宅・寮建物</t>
  </si>
  <si>
    <t>鉄有固-案内宣伝施設 建物付属-エヤーカーテン又はドアー自動開閉設備-社宅・寮建物</t>
  </si>
  <si>
    <t>鉄有固-案内宣伝施設 建物付属-アーケード又は日よけ設備-金属製-社宅・寮建物</t>
  </si>
  <si>
    <t>鉄有固-案内宣伝施設 建物付属-アーケード又は日よけ設備-その他のもの-社宅・寮建物</t>
  </si>
  <si>
    <t>鉄有固-案内宣伝施設 建物付属-店用簡易設備-社宅・寮建物</t>
  </si>
  <si>
    <t>鉄有固-案内宣伝施設 建物付属-可動簡易装備-簡易なもの-社宅・寮建物</t>
  </si>
  <si>
    <t>鉄有固-案内宣伝施設 建物付属-可動簡易装備-その他のもの-社宅・寮建物</t>
  </si>
  <si>
    <t>鉄有固-案内宣伝施設 建物付属-前掲以外・前掲区分外-主として金属製のもの-社宅・寮建物</t>
  </si>
  <si>
    <t>鉄有固-案内宣伝施設 建物付属-前掲以外・前掲区分外-その他のもの-社宅・寮建物</t>
  </si>
  <si>
    <t>鉄有固-案内宣伝施設 建物-雑建物-定額50年</t>
  </si>
  <si>
    <t>鉄有固-案内宣伝施設 建物-雑建物-定額47年</t>
  </si>
  <si>
    <t>鉄有固-案内宣伝施設 建物-雑建物-定額41年</t>
  </si>
  <si>
    <t>鉄有固-案内宣伝施設 建物-雑建物-定額39年</t>
  </si>
  <si>
    <t>鉄有固-案内宣伝施設 建物-雑建物-定額38年</t>
  </si>
  <si>
    <t>鉄有固-案内宣伝施設 建物-雑建物-定額36年</t>
  </si>
  <si>
    <t>鉄有固-案内宣伝施設 建物-雑建物-定額34年</t>
  </si>
  <si>
    <t>鉄有固-案内宣伝施設 建物-雑建物-定額31年</t>
  </si>
  <si>
    <t>鉄有固-案内宣伝施設 建物-雑建物-定額30年</t>
  </si>
  <si>
    <t>鉄有固-案内宣伝施設 建物-雑建物-定額29年</t>
  </si>
  <si>
    <t>鉄有固-案内宣伝施設 建物-雑建物-定額28年</t>
  </si>
  <si>
    <t>鉄有固-案内宣伝施設 建物-雑建物-定額27年</t>
  </si>
  <si>
    <t>鉄有固-案内宣伝施設 建物-雑建物-定額26年</t>
  </si>
  <si>
    <t>鉄有固-案内宣伝施設 建物-雑建物-定額25年</t>
  </si>
  <si>
    <t>鉄有固-案内宣伝施設 建物-雑建物-定額24年</t>
  </si>
  <si>
    <t>鉄有固-案内宣伝施設 建物-雑建物-定額22年</t>
  </si>
  <si>
    <t>鉄有固-案内宣伝施設 建物-雑建物-定額21年</t>
  </si>
  <si>
    <t>鉄有固-案内宣伝施設 建物-雑建物-定額20年</t>
  </si>
  <si>
    <t>鉄有固-案内宣伝施設 建物-雑建物-定額19年</t>
  </si>
  <si>
    <t>鉄有固-案内宣伝施設 建物-雑建物-定額17年</t>
  </si>
  <si>
    <t>鉄有固-案内宣伝施設 建物-雑建物-定額15年</t>
  </si>
  <si>
    <t>鉄有固-案内宣伝施設 建物-雑建物-定額14年</t>
  </si>
  <si>
    <t>鉄有固-案内宣伝施設 建物-雑建物-定額12年</t>
  </si>
  <si>
    <t>鉄有固-案内宣伝施設 建物-雑建物-定額11年</t>
  </si>
  <si>
    <t>鉄有固-案内宣伝施設 建物-雑建物-定額10年</t>
  </si>
  <si>
    <t>鉄有固-案内宣伝施設 建物-雑建物-定額09年</t>
  </si>
  <si>
    <t>鉄有固-案内宣伝施設 建物-雑建物-定額07年</t>
  </si>
  <si>
    <t>鉄有固-案内宣伝施設 建物付属-電気設備(照明設備を含む)-蓄電池電源設備-雑建物</t>
  </si>
  <si>
    <t>鉄有固-案内宣伝施設 建物付属-電気設備(照明設備を含む)-その他のもの-雑建物</t>
  </si>
  <si>
    <t>鉄有固-案内宣伝施設 建物付属-給排水又は衛生設備及びガス設備-雑建物</t>
  </si>
  <si>
    <t>鉄有固-案内宣伝施設 建物付属-冷暖房・通風・ボイラー設備-22kw以下-雑建物</t>
  </si>
  <si>
    <t>鉄有固-案内宣伝施設 建物付属-冷暖房・通風・ボイラー設備-その他のもの-雑建物</t>
  </si>
  <si>
    <t>鉄有固-案内宣伝施設 建物付属-昇降機設備-エレベーター-雑建物</t>
  </si>
  <si>
    <t>鉄有固-案内宣伝施設 建物付属-昇降機設備-エスカレーター-雑建物</t>
  </si>
  <si>
    <t>鉄有固-案内宣伝施設 建物付属-消火・排煙・災害報知設備及び格納式避難設備-雑建物</t>
  </si>
  <si>
    <t>鉄有固-案内宣伝施設 建物付属-エヤーカーテン又はドアー自動開閉設備-雑建物</t>
  </si>
  <si>
    <t>鉄有固-案内宣伝施設 建物付属-アーケード又は日よけ設備-金属製-雑建物</t>
  </si>
  <si>
    <t>鉄有固-案内宣伝施設 建物付属-アーケード又は日よけ設備-その他のもの-雑建物</t>
  </si>
  <si>
    <t>鉄有固-案内宣伝施設 建物付属-店用簡易設備-雑建物</t>
  </si>
  <si>
    <t>鉄有固-案内宣伝施設 建物付属-可動簡易装備-簡易なもの-雑建物</t>
  </si>
  <si>
    <t>鉄有固-案内宣伝施設 建物付属-可動簡易装備-その他のもの-雑建物</t>
  </si>
  <si>
    <t>鉄有固-案内宣伝施設 建物付属-前掲以外・前掲区分外-主として金属製のもの-雑建物</t>
  </si>
  <si>
    <t>鉄有固-案内宣伝施設 建物付属-前掲以外・前掲区分外-その他のもの-雑建物</t>
  </si>
  <si>
    <t>鉄有固-案内宣伝施設 雑施設</t>
  </si>
  <si>
    <t>広告有固-土地-事務所</t>
  </si>
  <si>
    <t>広告有固-土地-店舗</t>
  </si>
  <si>
    <t>広告有固-土地-その他</t>
  </si>
  <si>
    <t>広告有固-建物-事務所-定額50年</t>
  </si>
  <si>
    <t>広告有固-建物-事務所-定額41年</t>
  </si>
  <si>
    <t>広告有固-建物-事務所-定額38年</t>
  </si>
  <si>
    <t>広告有固-建物-事務所-定額30年</t>
  </si>
  <si>
    <t>広告有固-建物-事務所-定額22年</t>
  </si>
  <si>
    <t>広告有固-建物-事務所-定額24年</t>
  </si>
  <si>
    <t>広告有固-建物-事務所-定額10年</t>
  </si>
  <si>
    <t>広告有固-建物-事務所-定額07年</t>
  </si>
  <si>
    <t>広告有固-建物付属設備-事務所-定率18年</t>
  </si>
  <si>
    <t>広告有固-建物付属設備-事務所-定率17年</t>
  </si>
  <si>
    <t>広告有固-建物付属設備-事務所-定率15年</t>
  </si>
  <si>
    <t>広告有固-建物付属設備-事務所-定率13年</t>
  </si>
  <si>
    <t>広告有固-建物付属設備-事務所-定率12年</t>
  </si>
  <si>
    <t>広告有固-建物付属設備-事務所-定率10年</t>
  </si>
  <si>
    <t>広告有固-建物付属設備-事務所-定率08年</t>
  </si>
  <si>
    <t>広告有固-建物付属設備-事務所-定率03年</t>
  </si>
  <si>
    <t>広告有固-建物-店舗-定額39年</t>
  </si>
  <si>
    <t>広告有固-建物-店舗-定額38年</t>
  </si>
  <si>
    <t>広告有固-建物-店舗-定額34年</t>
  </si>
  <si>
    <t>広告有固-建物-店舗-定額27年</t>
  </si>
  <si>
    <t>広告有固-建物-店舗-定額19年</t>
  </si>
  <si>
    <t>広告有固-建物-店舗-定額22年</t>
  </si>
  <si>
    <t>広告有固-建物-店舗-定額20年</t>
  </si>
  <si>
    <t>広告有固-建物-店舗-定額10年</t>
  </si>
  <si>
    <t>広告有固-建物-店舗-定額07年</t>
  </si>
  <si>
    <t>広告有固-建物付属設備-店舗-定率18年</t>
  </si>
  <si>
    <t>広告有固-建物付属設備-店舗-定率17年</t>
  </si>
  <si>
    <t>広告有固-建物付属設備-店舗-定率15年</t>
  </si>
  <si>
    <t>広告有固-建物付属設備-店舗-定率13年</t>
  </si>
  <si>
    <t>広告有固-建物付属設備-店舗-定率12年</t>
  </si>
  <si>
    <t>広告有固-建物付属設備-店舗-定率10年</t>
  </si>
  <si>
    <t>広告有固-建物付属設備-店舗-定率08年</t>
  </si>
  <si>
    <t>広告有固-建物付属設備-店舗-定率03年</t>
  </si>
  <si>
    <t>広告有固-建物-その他-定額50年</t>
  </si>
  <si>
    <t>広告有固-建物-その他-定額47年</t>
  </si>
  <si>
    <t>広告有固-建物-その他-定額41年</t>
  </si>
  <si>
    <t>広告有固-建物-その他-定額39年</t>
  </si>
  <si>
    <t>広告有固-建物-その他-定額38年</t>
  </si>
  <si>
    <t>広告有固-建物-その他-定額36年</t>
  </si>
  <si>
    <t>広告有固-建物-その他-定額34年</t>
  </si>
  <si>
    <t>広告有固-建物-その他-定額31年</t>
  </si>
  <si>
    <t>広告有固-建物-その他-定額30年</t>
  </si>
  <si>
    <t>広告有固-建物-その他-定額29年</t>
  </si>
  <si>
    <t>広告有固-建物-その他-定額28年</t>
  </si>
  <si>
    <t>広告有固-建物-その他-定額27年</t>
  </si>
  <si>
    <t>広告有固-建物-その他-定額26年</t>
  </si>
  <si>
    <t>広告有固-建物-その他-定額25年</t>
  </si>
  <si>
    <t>広告有固-建物-その他-定額24年</t>
  </si>
  <si>
    <t>広告有固-建物-その他-定額22年</t>
  </si>
  <si>
    <t>広告有固-建物-その他-定額21年</t>
  </si>
  <si>
    <t>広告有固-建物-その他-定額20年</t>
  </si>
  <si>
    <t>広告有固-建物-その他-定額19年</t>
  </si>
  <si>
    <t>広告有固-建物-その他-定額17年</t>
  </si>
  <si>
    <t>広告有固-建物-その他-定額15年</t>
  </si>
  <si>
    <t>広告有固-建物-その他-定額14年</t>
  </si>
  <si>
    <t>広告有固-建物-その他-定額12年</t>
  </si>
  <si>
    <t>広告有固-建物-その他-定額11年</t>
  </si>
  <si>
    <t>広告有固-建物-その他-定額10年</t>
  </si>
  <si>
    <t>広告有固-建物-その他-定額09年</t>
  </si>
  <si>
    <t>広告有固-建物-その他-定額07年</t>
  </si>
  <si>
    <t>広告有固-建物付属設備-その他-定率18年</t>
  </si>
  <si>
    <t>広告有固-建物付属設備-その他-定率17年</t>
  </si>
  <si>
    <t>広告有固-建物付属設備-その他-定率15年</t>
  </si>
  <si>
    <t>広告有固-建物付属設備-その他-定率13年</t>
  </si>
  <si>
    <t>広告有固-建物付属設備-その他-定率12年</t>
  </si>
  <si>
    <t>広告有固-建物付属設備-その他-定率10年</t>
  </si>
  <si>
    <t>広告有固-建物付属設備-その他-定率08年</t>
  </si>
  <si>
    <t>広告有固-建物付属設備-その他-定率03年</t>
  </si>
  <si>
    <t>広告有固-構築物-定率80年</t>
  </si>
  <si>
    <t>広告有固-構築物-定率75年</t>
  </si>
  <si>
    <t>広告有固-構築物-定率60年</t>
  </si>
  <si>
    <t>広告有固-構築物-定率57年</t>
  </si>
  <si>
    <t>広告有固-構築物-定率50年</t>
  </si>
  <si>
    <t>広告有固-構築物-定率45年</t>
  </si>
  <si>
    <t>広告有固-構築物-定率42年</t>
  </si>
  <si>
    <t>広告有固-構築物-定率41年</t>
  </si>
  <si>
    <t>広告有固-構築物-定率40年</t>
  </si>
  <si>
    <t>広告有固-構築物-定率36年</t>
  </si>
  <si>
    <t>広告有固-構築物-定率35年</t>
  </si>
  <si>
    <t>広告有固-構築物-定率34年</t>
  </si>
  <si>
    <t>広告有固-構築物-定率32年</t>
  </si>
  <si>
    <t>広告有固-構築物-定率30年</t>
  </si>
  <si>
    <t>広告有固-構築物-定率27年</t>
  </si>
  <si>
    <t>広告有固-構築物-定率25年</t>
  </si>
  <si>
    <t>広告有固-構築物-定率24年</t>
  </si>
  <si>
    <t>広告有固-構築物-定率22年</t>
  </si>
  <si>
    <t>広告有固-構築物-定率21年</t>
  </si>
  <si>
    <t>広告有固-構築物-定率20年</t>
  </si>
  <si>
    <t>広告有固-構築物-定率19年</t>
  </si>
  <si>
    <t>広告有固-構築物-定率17年</t>
  </si>
  <si>
    <t>広告有固-構築物-定率16年</t>
  </si>
  <si>
    <t>広告有固-構築物-定率15年</t>
  </si>
  <si>
    <t>広告有固-構築物-定率14年</t>
  </si>
  <si>
    <t>広告有固-構築物-定率13年</t>
  </si>
  <si>
    <t>広告有固-構築物-定率12年</t>
  </si>
  <si>
    <t>広告有固-構築物-定率10年</t>
  </si>
  <si>
    <t>広告有固-構築物-定率08年</t>
  </si>
  <si>
    <t>広告有固-構築物-定率07年</t>
  </si>
  <si>
    <t>広告有固-構築物-定率05年</t>
  </si>
  <si>
    <t>広告有固-構築物-定率03年</t>
  </si>
  <si>
    <t>広告有固-機械装置-定率22年</t>
  </si>
  <si>
    <t>広告有固-機械装置-定率20年</t>
  </si>
  <si>
    <t>広告有固-機械装置-定率18年</t>
  </si>
  <si>
    <t>広告有固-機械装置-定率17年</t>
  </si>
  <si>
    <t>広告有固-機械装置-定率15年</t>
  </si>
  <si>
    <t>広告有固-機械装置-定率14年</t>
  </si>
  <si>
    <t>広告有固-機械装置-定率13年</t>
  </si>
  <si>
    <t>広告有固-機械装置-定率12年</t>
  </si>
  <si>
    <t>広告有固-機械装置-定率11年</t>
  </si>
  <si>
    <t>広告有固-機械装置-定率10年</t>
  </si>
  <si>
    <t>広告有固-機械装置-定率09年</t>
  </si>
  <si>
    <t>広告有固-機械装置-定率08年</t>
  </si>
  <si>
    <t>広告有固-機械装置-定率07年</t>
  </si>
  <si>
    <t>広告有固-機械装置-定率06年</t>
  </si>
  <si>
    <t>広告有固-機械装置-定率05年</t>
  </si>
  <si>
    <t>広告有固-機械装置-定率04年</t>
  </si>
  <si>
    <t>広告有固-機械装置-定率03年</t>
  </si>
  <si>
    <t>広告有固-工具器具及び備品-工器備-定率13年</t>
  </si>
  <si>
    <t>広告有固-工具器具及び備品-工器備-定率08年</t>
  </si>
  <si>
    <t>広告有固-工具器具及び備品-工器備-定率05年</t>
  </si>
  <si>
    <t>広告有固-工具器具及び備品-工器備-定率04年</t>
  </si>
  <si>
    <t>広告有固-工具器具及び備品-工器備-定率03年</t>
  </si>
  <si>
    <t>広告有固-工具器具及び備品-工器備-定率02年</t>
  </si>
  <si>
    <t>広告有固-工具器具及び備品-工器備-定率20年</t>
  </si>
  <si>
    <t>広告有固-工具器具及び備品-工器備-定率15年</t>
  </si>
  <si>
    <t>広告有固-工具器具及び備品-工器備-定率10年</t>
  </si>
  <si>
    <t>広告有固-工具器具及び備品-工器備-定率07年</t>
  </si>
  <si>
    <t>広告有固-工具器具及び備品-工器備-定率06年</t>
  </si>
  <si>
    <t>広告有固-工具器具及び備品-運搬具-定率07年</t>
  </si>
  <si>
    <t>広告有固-工具器具及び備品-運搬具-定率06年</t>
  </si>
  <si>
    <t>広告有固-工具器具及び備品-運搬具-定率05年</t>
  </si>
  <si>
    <t>広告有固-工具器具及び備品-運搬具-定率04年</t>
  </si>
  <si>
    <t>広告有固-工具器具及び備品-運搬具-定率03年</t>
  </si>
  <si>
    <t>広告有固-工具器具及び備品-運搬具-定率02年</t>
  </si>
  <si>
    <t>広告有固-リース資産-土地</t>
  </si>
  <si>
    <t>広告有固-リース資産-建物</t>
  </si>
  <si>
    <t>広告有固-リース資産-構築物</t>
  </si>
  <si>
    <t>広告有固-リース資産-車両</t>
  </si>
  <si>
    <t>広告有固-リース資産-機械装置</t>
  </si>
  <si>
    <t>広告有固-リース資産-工具器具及び備品</t>
  </si>
  <si>
    <t>広告有固-雑施設</t>
  </si>
  <si>
    <t>不動産有固-土地-事務所</t>
  </si>
  <si>
    <t>不動産有固-土地-店舗</t>
  </si>
  <si>
    <t>不動産有固-土地-その他</t>
  </si>
  <si>
    <t>不動産有固-建物-事務所-定額50年</t>
  </si>
  <si>
    <t>不動産有固-建物-事務所-定額41年</t>
  </si>
  <si>
    <t>不動産有固-建物-事務所-定額38年</t>
  </si>
  <si>
    <t>不動産有固-建物-事務所-定額30年</t>
  </si>
  <si>
    <t>不動産有固-建物-事務所-定額22年</t>
  </si>
  <si>
    <t>不動産有固-建物-事務所-定額24年</t>
  </si>
  <si>
    <t>不動産有固-建物-事務所-定額10年</t>
  </si>
  <si>
    <t>不動産有固-建物-事務所-定額07年</t>
  </si>
  <si>
    <t>不動産有固-建物付属設備-事務所-定率18年</t>
  </si>
  <si>
    <t>不動産有固-建物付属設備-事務所-定率17年</t>
  </si>
  <si>
    <t>不動産有固-建物付属設備-事務所-定率15年</t>
  </si>
  <si>
    <t>不動産有固-建物付属設備-事務所-定率13年</t>
  </si>
  <si>
    <t>不動産有固-建物付属設備-事務所-定率12年</t>
  </si>
  <si>
    <t>不動産有固-建物付属設備-事務所-定率10年</t>
  </si>
  <si>
    <t>不動産有固-建物付属設備-事務所-定率08年</t>
  </si>
  <si>
    <t>不動産有固-建物付属設備-事務所-定率03年</t>
  </si>
  <si>
    <t>不動産有固-建物-店舗-定額39年</t>
  </si>
  <si>
    <t>不動産有固-建物-店舗-定額38年</t>
  </si>
  <si>
    <t>不動産有固-建物-店舗-定額34年</t>
  </si>
  <si>
    <t>不動産有固-建物-店舗-定額27年</t>
  </si>
  <si>
    <t>不動産有固-建物-店舗-定額19年</t>
  </si>
  <si>
    <t>不動産有固-建物-店舗-定額22年</t>
  </si>
  <si>
    <t>不動産有固-建物-店舗-定額20年</t>
  </si>
  <si>
    <t>不動産有固-建物-店舗-定額10年</t>
  </si>
  <si>
    <t>不動産有固-建物-店舗-定額07年</t>
  </si>
  <si>
    <t>不動産有固-建物付属設備-店舗-定率18年</t>
  </si>
  <si>
    <t>不動産有固-建物付属設備-店舗-定率17年</t>
  </si>
  <si>
    <t>不動産有固-建物付属設備-店舗-定率15年</t>
  </si>
  <si>
    <t>不動産有固-建物付属設備-店舗-定率13年</t>
  </si>
  <si>
    <t>不動産有固-建物付属設備-店舗-定率12年</t>
  </si>
  <si>
    <t>不動産有固-建物付属設備-店舗-定率10年</t>
  </si>
  <si>
    <t>不動産有固-建物付属設備-店舗-定率08年</t>
  </si>
  <si>
    <t>不動産有固-建物付属設備-店舗-定率03年</t>
  </si>
  <si>
    <t>不動産有固-建物-その他-定額50年</t>
  </si>
  <si>
    <t>不動産有固-建物-その他-定額47年</t>
  </si>
  <si>
    <t>不動産有固-建物-その他-定額41年</t>
  </si>
  <si>
    <t>不動産有固-建物-その他-定額39年</t>
  </si>
  <si>
    <t>不動産有固-建物-その他-定額38年</t>
  </si>
  <si>
    <t>不動産有固-建物-その他-定額36年</t>
  </si>
  <si>
    <t>不動産有固-建物-その他-定額34年</t>
  </si>
  <si>
    <t>不動産有固-建物-その他-定額31年</t>
  </si>
  <si>
    <t>不動産有固-建物-その他-定額30年</t>
  </si>
  <si>
    <t>不動産有固-建物-その他-定額29年</t>
  </si>
  <si>
    <t>不動産有固-建物-その他-定額28年</t>
  </si>
  <si>
    <t>不動産有固-建物-その他-定額27年</t>
  </si>
  <si>
    <t>不動産有固-建物-その他-定額26年</t>
  </si>
  <si>
    <t>不動産有固-建物-その他-定額25年</t>
  </si>
  <si>
    <t>不動産有固-建物-その他-定額24年</t>
  </si>
  <si>
    <t>不動産有固-建物-その他-定額22年</t>
  </si>
  <si>
    <t>不動産有固-建物-その他-定額21年</t>
  </si>
  <si>
    <t>不動産有固-建物-その他-定額20年</t>
  </si>
  <si>
    <t>不動産有固-建物-その他-定額19年</t>
  </si>
  <si>
    <t>不動産有固-建物-その他-定額17年</t>
  </si>
  <si>
    <t>不動産有固-建物-その他-定額15年</t>
  </si>
  <si>
    <t>不動産有固-建物-その他-定額14年</t>
  </si>
  <si>
    <t>不動産有固-建物-その他-定額12年</t>
  </si>
  <si>
    <t>不動産有固-建物-その他-定額11年</t>
  </si>
  <si>
    <t>不動産有固-建物-その他-定額10年</t>
  </si>
  <si>
    <t>不動産有固-建物-その他-定額09年</t>
  </si>
  <si>
    <t>不動産有固-建物-その他-定額07年</t>
  </si>
  <si>
    <t>不動産有固-建物付属設備-その他-定率18年</t>
  </si>
  <si>
    <t>不動産有固-建物付属設備-その他-定率17年</t>
  </si>
  <si>
    <t>不動産有固-建物付属設備-その他-定率15年</t>
  </si>
  <si>
    <t>不動産有固-建物付属設備-その他-定率13年</t>
  </si>
  <si>
    <t>不動産有固-建物付属設備-その他-定率12年</t>
  </si>
  <si>
    <t>不動産有固-建物付属設備-その他-定率10年</t>
  </si>
  <si>
    <t>不動産有固-建物付属設備-その他-定率08年</t>
  </si>
  <si>
    <t>不動産有固-建物付属設備-その他-定率03年</t>
  </si>
  <si>
    <t>不動産有固-構築物-定率80年</t>
  </si>
  <si>
    <t>不動産有固-構築物-定率75年</t>
  </si>
  <si>
    <t>不動産有固-構築物-定率60年</t>
  </si>
  <si>
    <t>不動産有固-構築物-定率57年</t>
  </si>
  <si>
    <t>不動産有固-構築物-定率50年</t>
  </si>
  <si>
    <t>不動産有固-構築物-定率45年</t>
  </si>
  <si>
    <t>不動産有固-構築物-定率42年</t>
  </si>
  <si>
    <t>不動産有固-構築物-定率41年</t>
  </si>
  <si>
    <t>不動産有固-構築物-定率40年</t>
  </si>
  <si>
    <t>不動産有固-構築物-定率36年</t>
  </si>
  <si>
    <t>不動産有固-構築物-定率35年</t>
  </si>
  <si>
    <t>不動産有固-構築物-定率34年</t>
  </si>
  <si>
    <t>不動産有固-構築物-定率32年</t>
  </si>
  <si>
    <t>不動産有固-構築物-定率30年</t>
  </si>
  <si>
    <t>不動産有固-構築物-定率27年</t>
  </si>
  <si>
    <t>不動産有固-構築物-定率25年</t>
  </si>
  <si>
    <t>不動産有固-構築物-定率24年</t>
  </si>
  <si>
    <t>不動産有固-構築物-定率22年</t>
  </si>
  <si>
    <t>不動産有固-構築物-定率21年</t>
  </si>
  <si>
    <t>不動産有固-構築物-定率20年</t>
  </si>
  <si>
    <t>不動産有固-構築物-定率19年</t>
  </si>
  <si>
    <t>不動産有固-構築物-定率17年</t>
  </si>
  <si>
    <t>不動産有固-構築物-定率16年</t>
  </si>
  <si>
    <t>不動産有固-構築物-定率15年</t>
  </si>
  <si>
    <t>不動産有固-構築物-定率14年</t>
  </si>
  <si>
    <t>不動産有固-構築物-定率13年</t>
  </si>
  <si>
    <t>不動産有固-構築物-定率12年</t>
  </si>
  <si>
    <t>不動産有固-構築物-定率10年</t>
  </si>
  <si>
    <t>不動産有固-構築物-定率08年</t>
  </si>
  <si>
    <t>不動産有固-構築物-定率07年</t>
  </si>
  <si>
    <t>不動産有固-構築物-定率05年</t>
  </si>
  <si>
    <t>不動産有固-構築物-定率03年</t>
  </si>
  <si>
    <t>不動産有固-機械装置-定率22年</t>
  </si>
  <si>
    <t>不動産有固-機械装置-定率20年</t>
  </si>
  <si>
    <t>不動産有固-機械装置-定率18年</t>
  </si>
  <si>
    <t>不動産有固-機械装置-定率17年</t>
  </si>
  <si>
    <t>不動産有固-機械装置-定率15年</t>
  </si>
  <si>
    <t>不動産有固-機械装置-定率14年</t>
  </si>
  <si>
    <t>不動産有固-機械装置-定率13年</t>
  </si>
  <si>
    <t>不動産有固-機械装置-定率12年</t>
  </si>
  <si>
    <t>不動産有固-機械装置-定率11年</t>
  </si>
  <si>
    <t>不動産有固-機械装置-定率10年</t>
  </si>
  <si>
    <t>不動産有固-機械装置-定率09年</t>
  </si>
  <si>
    <t>不動産有固-機械装置-定率08年</t>
  </si>
  <si>
    <t>不動産有固-機械装置-定率07年</t>
  </si>
  <si>
    <t>不動産有固-機械装置-定率06年</t>
  </si>
  <si>
    <t>不動産有固-機械装置-定率05年</t>
  </si>
  <si>
    <t>不動産有固-機械装置-定率04年</t>
  </si>
  <si>
    <t>不動産有固-機械装置-定率03年</t>
  </si>
  <si>
    <t>不動産有固-工具器具及び備品-工器備-定率13年</t>
  </si>
  <si>
    <t>不動産有固-工具器具及び備品-工器備-定率08年</t>
  </si>
  <si>
    <t>不動産有固-工具器具及び備品-工器備-定率05年</t>
  </si>
  <si>
    <t>不動産有固-工具器具及び備品-工器備-定率04年</t>
  </si>
  <si>
    <t>不動産有固-工具器具及び備品-工器備-定率03年</t>
  </si>
  <si>
    <t>不動産有固-工具器具及び備品-工器備-定率02年</t>
  </si>
  <si>
    <t>不動産有固-工具器具及び備品-工器備-定率20年</t>
  </si>
  <si>
    <t>不動産有固-工具器具及び備品-工器備-定率15年</t>
  </si>
  <si>
    <t>不動産有固-工具器具及び備品-工器備-定率10年</t>
  </si>
  <si>
    <t>不動産有固-工具器具及び備品-工器備-定率07年</t>
  </si>
  <si>
    <t>不動産有固-工具器具及び備品-工器備-定率06年</t>
  </si>
  <si>
    <t>不動産有固-工具器具及び備品-運搬具-定率07年</t>
  </si>
  <si>
    <t>不動産有固-工具器具及び備品-運搬具-定率06年</t>
  </si>
  <si>
    <t>不動産有固-工具器具及び備品-運搬具-定率05年</t>
  </si>
  <si>
    <t>不動産有固-工具器具及び備品-運搬具-定率04年</t>
  </si>
  <si>
    <t>不動産有固-工具器具及び備品-運搬具-定率03年</t>
  </si>
  <si>
    <t>不動産有固-工具器具及び備品-運搬具-定率02年</t>
  </si>
  <si>
    <t>不動産有固-リース資産-土地</t>
  </si>
  <si>
    <t>不動産有固-リース資産-建物</t>
  </si>
  <si>
    <t>不動産有固-リース資産-構築物</t>
  </si>
  <si>
    <t>不動産有固-リース資産-車両</t>
  </si>
  <si>
    <t>不動産有固-リース資産-機械装置</t>
  </si>
  <si>
    <t>不動産有固-リース資産-工具器具及び備品</t>
  </si>
  <si>
    <t>不動産有固-雑施設</t>
  </si>
  <si>
    <t>流通有固-土地-事務所</t>
  </si>
  <si>
    <t>流通有固-土地-店舗</t>
  </si>
  <si>
    <t>流通有固-土地-その他</t>
  </si>
  <si>
    <t>流通有固-建物-事務所-定額50年</t>
  </si>
  <si>
    <t>流通有固-建物-事務所-定額41年</t>
  </si>
  <si>
    <t>流通有固-建物-事務所-定額38年</t>
  </si>
  <si>
    <t>流通有固-建物-事務所-定額30年</t>
  </si>
  <si>
    <t>流通有固-建物-事務所-定額22年</t>
  </si>
  <si>
    <t>流通有固-建物-事務所-定額24年</t>
  </si>
  <si>
    <t>流通有固-建物-事務所-定額10年</t>
  </si>
  <si>
    <t>流通有固-建物-事務所-定額07年</t>
  </si>
  <si>
    <t>流通有固-建物付属設備-事務所-定率18年</t>
  </si>
  <si>
    <t>流通有固-建物付属設備-事務所-定率17年</t>
  </si>
  <si>
    <t>流通有固-建物付属設備-事務所-定率15年</t>
  </si>
  <si>
    <t>流通有固-建物付属設備-事務所-定率13年</t>
  </si>
  <si>
    <t>流通有固-建物付属設備-事務所-定率12年</t>
  </si>
  <si>
    <t>流通有固-建物付属設備-事務所-定率10年</t>
  </si>
  <si>
    <t>流通有固-建物付属設備-事務所-定率08年</t>
  </si>
  <si>
    <t>流通有固-建物付属設備-事務所-定率03年</t>
  </si>
  <si>
    <t>流通有固-建物-店舗-定額39年</t>
  </si>
  <si>
    <t>流通有固-建物-店舗-定額38年</t>
  </si>
  <si>
    <t>流通有固-建物-店舗-定額34年</t>
  </si>
  <si>
    <t>流通有固-建物-店舗-定額27年</t>
  </si>
  <si>
    <t>流通有固-建物-店舗-定額19年</t>
  </si>
  <si>
    <t>流通有固-建物-店舗-定額22年</t>
  </si>
  <si>
    <t>流通有固-建物-店舗-定額20年</t>
  </si>
  <si>
    <t>流通有固-建物-店舗-定額10年</t>
  </si>
  <si>
    <t>流通有固-建物-店舗-定額07年</t>
  </si>
  <si>
    <t>流通有固-建物付属設備-店舗-定率18年</t>
  </si>
  <si>
    <t>流通有固-建物付属設備-店舗-定率17年</t>
  </si>
  <si>
    <t>流通有固-建物付属設備-店舗-定率15年</t>
  </si>
  <si>
    <t>流通有固-建物付属設備-店舗-定率13年</t>
  </si>
  <si>
    <t>流通有固-建物付属設備-店舗-定率12年</t>
  </si>
  <si>
    <t>流通有固-建物付属設備-店舗-定率10年</t>
  </si>
  <si>
    <t>流通有固-建物付属設備-店舗-定率08年</t>
  </si>
  <si>
    <t>流通有固-建物付属設備-店舗-定率03年</t>
  </si>
  <si>
    <t>流通有固-建物-その他-定額50年</t>
  </si>
  <si>
    <t>流通有固-建物-その他-定額47年</t>
  </si>
  <si>
    <t>流通有固-建物-その他-定額41年</t>
  </si>
  <si>
    <t>流通有固-建物-その他-定額39年</t>
  </si>
  <si>
    <t>流通有固-建物-その他-定額38年</t>
  </si>
  <si>
    <t>流通有固-建物-その他-定額36年</t>
  </si>
  <si>
    <t>流通有固-建物-その他-定額34年</t>
  </si>
  <si>
    <t>流通有固-建物-その他-定額31年</t>
  </si>
  <si>
    <t>流通有固-建物-その他-定額30年</t>
  </si>
  <si>
    <t>流通有固-建物-その他-定額29年</t>
  </si>
  <si>
    <t>流通有固-建物-その他-定額28年</t>
  </si>
  <si>
    <t>流通有固-建物-その他-定額27年</t>
  </si>
  <si>
    <t>流通有固-建物-その他-定額26年</t>
  </si>
  <si>
    <t>流通有固-建物-その他-定額25年</t>
  </si>
  <si>
    <t>流通有固-建物-その他-定額24年</t>
  </si>
  <si>
    <t>流通有固-建物-その他-定額22年</t>
  </si>
  <si>
    <t>流通有固-建物-その他-定額21年</t>
  </si>
  <si>
    <t>流通有固-建物-その他-定額20年</t>
  </si>
  <si>
    <t>流通有固-建物-その他-定額19年</t>
  </si>
  <si>
    <t>流通有固-建物-その他-定額17年</t>
  </si>
  <si>
    <t>流通有固-建物-その他-定額15年</t>
  </si>
  <si>
    <t>流通有固-建物-その他-定額14年</t>
  </si>
  <si>
    <t>流通有固-建物-その他-定額12年</t>
  </si>
  <si>
    <t>流通有固-建物-その他-定額11年</t>
  </si>
  <si>
    <t>流通有固-建物-その他-定額10年</t>
  </si>
  <si>
    <t>流通有固-建物-その他-定額09年</t>
  </si>
  <si>
    <t>流通有固-建物-その他-定額07年</t>
  </si>
  <si>
    <t>流通有固-建物付属設備-その他-定率18年</t>
  </si>
  <si>
    <t>流通有固-建物付属設備-その他-定率17年</t>
  </si>
  <si>
    <t>流通有固-建物付属設備-その他-定率15年</t>
  </si>
  <si>
    <t>流通有固-建物付属設備-その他-定率13年</t>
  </si>
  <si>
    <t>流通有固-建物付属設備-その他-定率12年</t>
  </si>
  <si>
    <t>流通有固-建物付属設備-その他-定率10年</t>
  </si>
  <si>
    <t>流通有固-建物付属設備-その他-定率08年</t>
  </si>
  <si>
    <t>流通有固-建物付属設備-その他-定率03年</t>
  </si>
  <si>
    <t>流通有固-構築物-定率80年</t>
  </si>
  <si>
    <t>流通有固-構築物-定率75年</t>
  </si>
  <si>
    <t>流通有固-構築物-定率60年</t>
  </si>
  <si>
    <t>流通有固-構築物-定率57年</t>
  </si>
  <si>
    <t>流通有固-構築物-定率50年</t>
  </si>
  <si>
    <t>流通有固-構築物-定率45年</t>
  </si>
  <si>
    <t>流通有固-構築物-定率42年</t>
  </si>
  <si>
    <t>流通有固-構築物-定率41年</t>
  </si>
  <si>
    <t>流通有固-構築物-定率40年</t>
  </si>
  <si>
    <t>流通有固-構築物-定率36年</t>
  </si>
  <si>
    <t>流通有固-構築物-定率35年</t>
  </si>
  <si>
    <t>流通有固-構築物-定率34年</t>
  </si>
  <si>
    <t>流通有固-構築物-定率32年</t>
  </si>
  <si>
    <t>流通有固-構築物-定率30年</t>
  </si>
  <si>
    <t>流通有固-構築物-定率27年</t>
  </si>
  <si>
    <t>流通有固-構築物-定率25年</t>
  </si>
  <si>
    <t>流通有固-構築物-定率24年</t>
  </si>
  <si>
    <t>流通有固-構築物-定率22年</t>
  </si>
  <si>
    <t>流通有固-構築物-定率21年</t>
  </si>
  <si>
    <t>流通有固-構築物-定率20年</t>
  </si>
  <si>
    <t>流通有固-構築物-定率19年</t>
  </si>
  <si>
    <t>流通有固-構築物-定率17年</t>
  </si>
  <si>
    <t>流通有固-構築物-定率16年</t>
  </si>
  <si>
    <t>流通有固-構築物-定率15年</t>
  </si>
  <si>
    <t>流通有固-構築物-定率14年</t>
  </si>
  <si>
    <t>流通有固-構築物-定率13年</t>
  </si>
  <si>
    <t>流通有固-構築物-定率12年</t>
  </si>
  <si>
    <t>流通有固-構築物-定率10年</t>
  </si>
  <si>
    <t>流通有固-構築物-定率08年</t>
  </si>
  <si>
    <t>流通有固-構築物-定率07年</t>
  </si>
  <si>
    <t>流通有固-構築物-定率05年</t>
  </si>
  <si>
    <t>流通有固-構築物-定率03年</t>
  </si>
  <si>
    <t>流通有固-機械装置-定率22年</t>
  </si>
  <si>
    <t>流通有固-機械装置-定率20年</t>
  </si>
  <si>
    <t>流通有固-機械装置-定率18年</t>
  </si>
  <si>
    <t>流通有固-機械装置-定率17年</t>
  </si>
  <si>
    <t>流通有固-機械装置-定率15年</t>
  </si>
  <si>
    <t>流通有固-機械装置-定率14年</t>
  </si>
  <si>
    <t>流通有固-機械装置-定率13年</t>
  </si>
  <si>
    <t>流通有固-機械装置-定率12年</t>
  </si>
  <si>
    <t>流通有固-機械装置-定率11年</t>
  </si>
  <si>
    <t>流通有固-機械装置-定率10年</t>
  </si>
  <si>
    <t>流通有固-機械装置-定率09年</t>
  </si>
  <si>
    <t>流通有固-機械装置-定率08年</t>
  </si>
  <si>
    <t>流通有固-機械装置-定率07年</t>
  </si>
  <si>
    <t>流通有固-機械装置-定率06年</t>
  </si>
  <si>
    <t>流通有固-機械装置-定率05年</t>
  </si>
  <si>
    <t>流通有固-機械装置-定率04年</t>
  </si>
  <si>
    <t>流通有固-機械装置-定率03年</t>
  </si>
  <si>
    <t>流通有固-工具器具及び備品-工器備-定率13年</t>
  </si>
  <si>
    <t>流通有固-工具器具及び備品-工器備-定率08年</t>
  </si>
  <si>
    <t>流通有固-工具器具及び備品-工器備-定率05年</t>
  </si>
  <si>
    <t>流通有固-工具器具及び備品-工器備-定率04年</t>
  </si>
  <si>
    <t>流通有固-工具器具及び備品-工器備-定率03年</t>
  </si>
  <si>
    <t>流通有固-工具器具及び備品-工器備-定率02年</t>
  </si>
  <si>
    <t>流通有固-工具器具及び備品-工器備-定率20年</t>
  </si>
  <si>
    <t>流通有固-工具器具及び備品-工器備-定率15年</t>
  </si>
  <si>
    <t>流通有固-工具器具及び備品-工器備-定率10年</t>
  </si>
  <si>
    <t>流通有固-工具器具及び備品-工器備-定率07年</t>
  </si>
  <si>
    <t>流通有固-工具器具及び備品-工器備-定率06年</t>
  </si>
  <si>
    <t>流通有固-工具器具及び備品-運搬具-定率07年</t>
  </si>
  <si>
    <t>流通有固-工具器具及び備品-運搬具-定率06年</t>
  </si>
  <si>
    <t>流通有固-工具器具及び備品-運搬具-定率05年</t>
  </si>
  <si>
    <t>流通有固-工具器具及び備品-運搬具-定率04年</t>
  </si>
  <si>
    <t>流通有固-工具器具及び備品-運搬具-定率03年</t>
  </si>
  <si>
    <t>流通有固-工具器具及び備品-運搬具-定率02年</t>
  </si>
  <si>
    <t>流通有固-リース資産-土地</t>
  </si>
  <si>
    <t>流通有固-リース資産-建物</t>
  </si>
  <si>
    <t>流通有固-リース資産-構築物</t>
  </si>
  <si>
    <t>流通有固-リース資産-車両</t>
  </si>
  <si>
    <t>流通有固-リース資産-機械装置</t>
  </si>
  <si>
    <t>流通有固-リース資産-工具器具及び備品</t>
  </si>
  <si>
    <t>流通有固-雑施設</t>
  </si>
  <si>
    <t>サービス有固-土地-事務所</t>
  </si>
  <si>
    <t>サービス有固-土地-店舗</t>
  </si>
  <si>
    <t>サービス有固-土地-その他</t>
  </si>
  <si>
    <t>サービス有固-建物-事務所-定額50年</t>
  </si>
  <si>
    <t>サービス有固-建物-事務所-定額41年</t>
  </si>
  <si>
    <t>サービス有固-建物-事務所-定額38年</t>
  </si>
  <si>
    <t>サービス有固-建物-事務所-定額30年</t>
  </si>
  <si>
    <t>サービス有固-建物-事務所-定額22年</t>
  </si>
  <si>
    <t>サービス有固-建物-事務所-定額24年</t>
  </si>
  <si>
    <t>サービス有固-建物-事務所-定額10年</t>
  </si>
  <si>
    <t>サービス有固-建物-事務所-定額07年</t>
  </si>
  <si>
    <t>サービス有固-建物付属設備-事務所-定率18年</t>
  </si>
  <si>
    <t>サービス有固-建物付属設備-事務所-定率17年</t>
  </si>
  <si>
    <t>サービス有固-事務所-定率15年</t>
  </si>
  <si>
    <t>サービス有固-建物付属設備-事務所-定率13年</t>
  </si>
  <si>
    <t>サービス有固-建物付属設備-事務所-定率12年</t>
  </si>
  <si>
    <t>サービス有固-建物付属設備-事務所-定率10年</t>
  </si>
  <si>
    <t>サービス有固-建物付属設備-事務所-定率08年</t>
  </si>
  <si>
    <t>サービス有固-建物付属設備-事務所-定率03年</t>
  </si>
  <si>
    <t>サービス有固-建物-店舗-定額39年</t>
  </si>
  <si>
    <t>サービス有固-建物-店舗-定額38年</t>
  </si>
  <si>
    <t>サービス有固-建物-店舗-定額34年</t>
  </si>
  <si>
    <t>サービス有固-建物-店舗-定額27年</t>
  </si>
  <si>
    <t>サービス有固-建物-店舗-定額19年</t>
  </si>
  <si>
    <t>サービス有固-建物-店舗-定額22年</t>
  </si>
  <si>
    <t>サービス有固-建物-店舗-定額20年</t>
  </si>
  <si>
    <t>サービス有固-建物-店舗-定額10年</t>
  </si>
  <si>
    <t>サービス有固-建物-店舗-定額07年</t>
  </si>
  <si>
    <t>サービス有固-建物付属設備-店舗-定率18年</t>
  </si>
  <si>
    <t>サービス有固-建物付属設備-店舗-定率17年</t>
  </si>
  <si>
    <t>サービス有固-建物付属設備-店舗-定率15年</t>
  </si>
  <si>
    <t>サービス有固-建物付属設備-店舗-定率13年</t>
  </si>
  <si>
    <t>サービス有固-建物付属設備-店舗-定率12年</t>
  </si>
  <si>
    <t>サービス有固-建物付属設備-店舗-定率10年</t>
  </si>
  <si>
    <t>サービス有固-建物付属設備-店舗-定率08年</t>
  </si>
  <si>
    <t>サービス有固-建物付属設備-店舗-定率03年</t>
  </si>
  <si>
    <t>サービス有固-建物-その他-定額50年</t>
  </si>
  <si>
    <t>サービス有固-建物-その他-定額47年</t>
  </si>
  <si>
    <t>サービス有固-建物-その他-定額41年</t>
  </si>
  <si>
    <t>サービス有固-建物-その他-定額39年</t>
  </si>
  <si>
    <t>サービス有固-建物-その他-定額38年</t>
  </si>
  <si>
    <t>サービス有固-建物-その他-定額36年</t>
  </si>
  <si>
    <t>サービス有固-建物-その他-定額34年</t>
  </si>
  <si>
    <t>サービス有固-建物-その他-定額31年</t>
  </si>
  <si>
    <t>サービス有固-建物-その他-定額30年</t>
  </si>
  <si>
    <t>サービス有固-建物-その他-定額29年</t>
  </si>
  <si>
    <t>サービス有固-建物-その他-定額28年</t>
  </si>
  <si>
    <t>サービス有固-建物-その他-定額27年</t>
  </si>
  <si>
    <t>サービス有固-建物-その他-定額26年</t>
  </si>
  <si>
    <t>サービス有固-建物-その他-定額25年</t>
  </si>
  <si>
    <t>サービス有固-建物-その他-定額24年</t>
  </si>
  <si>
    <t>サービス有固-建物-その他-定額22年</t>
  </si>
  <si>
    <t>サービス有固-建物-その他-定額21年</t>
  </si>
  <si>
    <t>サービス有固-建物-その他-定額20年</t>
  </si>
  <si>
    <t>サービス有固-建物-その他-定額19年</t>
  </si>
  <si>
    <t>サービス有固-建物-その他-定額17年</t>
  </si>
  <si>
    <t>サービス有固-建物-その他-定額15年</t>
  </si>
  <si>
    <t>サービス有固-建物-その他-定額14年</t>
  </si>
  <si>
    <t>サービス有固-建物-その他-定額12年</t>
  </si>
  <si>
    <t>サービス有固-建物-その他-定額11年</t>
  </si>
  <si>
    <t>サービス有固-建物-その他-定額10年</t>
  </si>
  <si>
    <t>サービス有固-建物-その他-定額09年</t>
  </si>
  <si>
    <t>サービス有固-建物-その他-定額07年</t>
  </si>
  <si>
    <t>サービス有固-建物付属設備-その他-定率18年</t>
  </si>
  <si>
    <t>サービス有固-建物付属設備-その他-定率17年</t>
  </si>
  <si>
    <t>サービス有固-建物付属設備-その他-定率15年</t>
  </si>
  <si>
    <t>サービス有固-建物付属設備-その他-定率13年</t>
  </si>
  <si>
    <t>サービス有固-建物付属設備-その他-定率12年</t>
  </si>
  <si>
    <t>サービス有固-建物付属設備-その他-定率10年</t>
  </si>
  <si>
    <t>サービス有固-建物付属設備-その他-定率08年</t>
  </si>
  <si>
    <t>サービス有固-建物付属設備-その他-定率03年</t>
  </si>
  <si>
    <t>サービス有固-構築物-定率80年</t>
  </si>
  <si>
    <t>サービス有固-構築物-定率75年</t>
  </si>
  <si>
    <t>サービス有固-構築物-定率60年</t>
  </si>
  <si>
    <t>サービス有固-構築物-定率57年</t>
  </si>
  <si>
    <t>サービス有固-構築物-定率50年</t>
  </si>
  <si>
    <t>サービス有固-構築物-定率45年</t>
  </si>
  <si>
    <t>サービス有固-構築物-定率42年</t>
  </si>
  <si>
    <t>サービス有固-構築物-定率41年</t>
  </si>
  <si>
    <t>サービス有固-構築物-定率40年</t>
  </si>
  <si>
    <t>サービス有固-構築物-定率36年</t>
  </si>
  <si>
    <t>サービス有固-構築物-定率35年</t>
  </si>
  <si>
    <t>サービス有固-構築物-定率34年</t>
  </si>
  <si>
    <t>サービス有固-構築物-定率32年</t>
  </si>
  <si>
    <t>サービス有固-構築物-定率30年</t>
  </si>
  <si>
    <t>サービス有固-構築物-定率27年</t>
  </si>
  <si>
    <t>サービス有固-構築物-定率25年</t>
  </si>
  <si>
    <t>サービス有固-構築物-定率24年</t>
  </si>
  <si>
    <t>サービス有固-構築物-定率22年</t>
  </si>
  <si>
    <t>サービス有固-構築物-定率21年</t>
  </si>
  <si>
    <t>サービス有固-構築物-定率20年</t>
  </si>
  <si>
    <t>サービス有固-構築物-定率19年</t>
  </si>
  <si>
    <t>サービス有固-構築物-定率17年</t>
  </si>
  <si>
    <t>サービス有固-構築物-定率16年</t>
  </si>
  <si>
    <t>サービス有固-構築物-定率15年</t>
  </si>
  <si>
    <t>サービス有固-構築物-定率14年</t>
  </si>
  <si>
    <t>サービス有固-構築物-定率13年</t>
  </si>
  <si>
    <t>サービス有固-構築物-定率12年</t>
  </si>
  <si>
    <t>サービス有固-構築物-定率10年</t>
  </si>
  <si>
    <t>サービス有固-構築物-定率08年</t>
  </si>
  <si>
    <t>サービス有固-構築物-定率07年</t>
  </si>
  <si>
    <t>サービス有固-構築物-定率05年</t>
  </si>
  <si>
    <t>サービス有固-構築物-定率03年</t>
  </si>
  <si>
    <t>サービス有固-機械装置-定率22年</t>
  </si>
  <si>
    <t>サービス有固-機械装置-定率20年</t>
  </si>
  <si>
    <t>サービス有固-機械装置-定率18年</t>
  </si>
  <si>
    <t>サービス有固-機械装置-定率17年</t>
  </si>
  <si>
    <t>サービス有固-機械装置-定率15年</t>
  </si>
  <si>
    <t>サービス有固-機械装置-定率14年</t>
  </si>
  <si>
    <t>サービス有固-機械装置-定率13年</t>
  </si>
  <si>
    <t>サービス有固-機械装置-定率12年</t>
  </si>
  <si>
    <t>サービス有固-機械装置-定率11年</t>
  </si>
  <si>
    <t>サービス有固-機械装置-定率10年</t>
  </si>
  <si>
    <t>サービス有固-機械装置-定率09年</t>
  </si>
  <si>
    <t>サービス有固-機械装置-定率08年</t>
  </si>
  <si>
    <t>サービス有固-機械装置-定率07年</t>
  </si>
  <si>
    <t>サービス有固-機械装置-定率06年</t>
  </si>
  <si>
    <t>サービス有固-機械装置-定率05年</t>
  </si>
  <si>
    <t>サービス有固-機械装置-定率04年</t>
  </si>
  <si>
    <t>サービス有固-機械装置-定率03年</t>
  </si>
  <si>
    <t>サービス有固-工具器具及び備品-工器備-定率13年</t>
  </si>
  <si>
    <t>サービス有固-工具器具及び備品-工器備-定率08年</t>
  </si>
  <si>
    <t>サービス有固-工具器具及び備品-工器備-定率05年</t>
  </si>
  <si>
    <t>サービス有固-工具器具及び備品-工器備-定率04年</t>
  </si>
  <si>
    <t>サービス有固-工具器具及び備品-工器備-定率03年</t>
  </si>
  <si>
    <t>サービス有固-工具器具及び備品-工器備-定率02年</t>
  </si>
  <si>
    <t>サービス有固-工具器具及び備品-工器備-定率20年</t>
  </si>
  <si>
    <t>サービス有固-工具器具及び備品-工器備-定率15年</t>
  </si>
  <si>
    <t>サービス有固-工具器具及び備品-工器備-定率10年</t>
  </si>
  <si>
    <t>サービス有固-工具器具及び備品-工器備-定率07年</t>
  </si>
  <si>
    <t>サービス有固-工具器具及び備品-工器備-定率06年</t>
  </si>
  <si>
    <t>サービス有固-工具器具及び備品-運搬具-定率07年</t>
  </si>
  <si>
    <t>サービス有固-工具器具及び備品-運搬具-定率06年</t>
  </si>
  <si>
    <t>サービス有固-工具器具及び備品-運搬具-定率05年</t>
  </si>
  <si>
    <t>サービス有固-工具器具及び備品-運搬具-定率04年</t>
  </si>
  <si>
    <t>サービス有固-工具器具及び備品-運搬具-定率03年</t>
  </si>
  <si>
    <t>サービス有固-工具器具及び備品-運搬具-定率02年</t>
  </si>
  <si>
    <t>サービス有固-リース資産-土地</t>
  </si>
  <si>
    <t>サービス有固-リース資産-建物</t>
  </si>
  <si>
    <t>サービス有固-リース資産-構築物</t>
  </si>
  <si>
    <t>サービス有固-リース資産-車両</t>
  </si>
  <si>
    <t>サービス有固-リース資産-機械装置</t>
  </si>
  <si>
    <t>サービス有固-リース資産-工具器具及び備品</t>
  </si>
  <si>
    <t>サービス有固-雑施設</t>
  </si>
  <si>
    <t>その他の固定資産</t>
  </si>
  <si>
    <t>建設仮勘定-鉄道事業-直接費</t>
  </si>
  <si>
    <t>建設仮勘定-鉄道事業-間接費</t>
  </si>
  <si>
    <t>建設仮勘定-鉄道事業-ソフトウェア</t>
  </si>
  <si>
    <t>建設仮勘定-広告事業-直接費</t>
  </si>
  <si>
    <t>建設仮勘定-広告事業-間接費</t>
  </si>
  <si>
    <t>建設仮勘定-不動産事業-直接費</t>
  </si>
  <si>
    <t>建設仮勘定-不動産事業-間接費</t>
  </si>
  <si>
    <t>建設仮勘定-不動産事業-ソフトウェア</t>
  </si>
  <si>
    <t>建設仮勘定-流通事業-直接費</t>
  </si>
  <si>
    <t>建設仮勘定-流通事業-間接費</t>
  </si>
  <si>
    <t>建設仮勘定-流通事業-ソフトウェア</t>
  </si>
  <si>
    <t>建設仮勘定-サービス事業-直接費</t>
  </si>
  <si>
    <t>建設仮勘定-サービス事業-間接費</t>
  </si>
  <si>
    <t>建設仮勘定-サービス事業-ソフトウェア</t>
  </si>
  <si>
    <t>建設仮勘定-各事業関連-ソフトウェア</t>
  </si>
  <si>
    <t>各事業有固-土地-倉庫用地</t>
  </si>
  <si>
    <t>各事業有固-土地-事務所用地</t>
  </si>
  <si>
    <t>各事業有固-土地-社宅及び寮用地</t>
  </si>
  <si>
    <t>各事業有固-土地-雑用地</t>
  </si>
  <si>
    <t>各事業有固-建物-鉄骨鉄筋コンクリート造又は鉄筋コンクリート造のもの(その他)-倉庫建物</t>
  </si>
  <si>
    <t>各事業有固-建物-れんが造、石造又はブロック造のもの(その他)-倉庫建物</t>
  </si>
  <si>
    <t>各事業有固-建物-金属造のもの(骨格材の肉厚が4mm超)(その他)-倉庫建物</t>
  </si>
  <si>
    <t>各事業有固-建物-金属造のもの(骨格材の肉厚が3mm超4mm以下)(その他)-倉庫建物</t>
  </si>
  <si>
    <t>各事業有固-建物-金属造のもの(骨格材の肉厚が3mm以下)(その他)-倉庫建物</t>
  </si>
  <si>
    <t>各事業有固-建物-木造又は合成樹脂造のもの(その他)-倉庫建物</t>
  </si>
  <si>
    <t>各事業有固-建物-木骨モルタル造のもの(その他)-倉庫建物</t>
  </si>
  <si>
    <t>各事業有固-建物-簡易建物(木製主要柱10cm角以下で土居、杉皮ぶき等)-倉庫建物</t>
  </si>
  <si>
    <t>各事業有固-建物-簡易建物(掘立造のもの及び仮設のもの)-倉庫建物</t>
  </si>
  <si>
    <t>各事業有固-建物付属設備-電気設備(照明設備を含む。)-蓄電池電源設備</t>
  </si>
  <si>
    <t>各事業有固-建物付属設備-電気設備(照明設備を含む。)-その他のもの</t>
  </si>
  <si>
    <t>各事業有固-建物付属設備-給排水又は衛生設備及びガス設備</t>
  </si>
  <si>
    <t>各事業有固-建物付属設備-冷房、暖房、通風又はボイラー設備-冷凍機の出力が22kw以下</t>
  </si>
  <si>
    <t>各事業有固-建物付属設備-冷房、暖房、通風又はボイラー設備-その他のもの</t>
  </si>
  <si>
    <t>各事業有固-建物付属設備-昇降機設備-エレベーター</t>
  </si>
  <si>
    <t>各事業有固-建物付属設備-昇降機設備-エスカレーター</t>
  </si>
  <si>
    <t>各事業有固-建物付属設備-消火、排煙又は災害報知設備及び格納式避難設備</t>
  </si>
  <si>
    <t>各事業有固-建物付属設備-エヤーカーテン又はドアー自動開閉設備</t>
  </si>
  <si>
    <t>各事業有固-建物付属設備-アーケード又は日よけ設備-金属製</t>
  </si>
  <si>
    <t>各事業有固-建物付属設備-アーケード又は日よけ設備-その他のもの</t>
  </si>
  <si>
    <t>各事業有固-建物付属設備-店用簡易設備</t>
  </si>
  <si>
    <t>各事業有固-建物付属設備-可動簡易装備-簡易なもの</t>
  </si>
  <si>
    <t>各事業有固-建物付属設備-可動簡易装備-その他のもの</t>
  </si>
  <si>
    <t>各事業有固-建物付属設備-前掲のもの以外のもの及び前掲の区分によらないもの-主として金属製のもの</t>
  </si>
  <si>
    <t>各事業有固-建物付属設備-前掲のもの以外のもの及び前掲の区分によらないもの-その他のもの</t>
  </si>
  <si>
    <t>各事業有固-建物-鉄骨鉄筋コンクリート造又は鉄筋コンクリート造のもの-詰所建物</t>
  </si>
  <si>
    <t>各事業有固-建物-れんが造、石造又はブロック造のもの-詰所建物</t>
  </si>
  <si>
    <t>各事業有固-建物-金属造のもの(骨格材の肉厚が4mm超)-詰所建物</t>
  </si>
  <si>
    <t>各事業有固-建物-金属造のもの(骨格材の肉厚が3mm超4mm以下)-詰所建物</t>
  </si>
  <si>
    <t>各事業有固-建物-金属造のもの(骨格材の肉厚が3mm以下)-詰所建物</t>
  </si>
  <si>
    <t>各事業有固-建物-木造又は合成樹脂造のもの-詰所建物</t>
  </si>
  <si>
    <t>各事業有固-建物-木骨モルタル造のもの-詰所建物</t>
  </si>
  <si>
    <t>各事業有固-建物-簡易建物(木製主要柱10cm角以下で土居、杉皮ぶき等)-詰所建物</t>
  </si>
  <si>
    <t>各事業有固-建物-簡易建物(掘立造のもの及び仮設のもの)-詰所建物</t>
  </si>
  <si>
    <t>各事業有固-建物付属設備-冷房、暖房、通風又はボイラー設備-冷凍機の出力が22kw以下のもの</t>
  </si>
  <si>
    <t>各事業有固-建物-鉄骨鉄筋コンクリート造又は鉄筋コンクリート造のもの-事務所建物</t>
  </si>
  <si>
    <t>各事業有固-建物-れんが造、石造又はブロック造のもの-事務所建物</t>
  </si>
  <si>
    <t>各事業有固-建物-金属造のもの(骨格材の肉厚が4mm超)-事務所建物</t>
  </si>
  <si>
    <t>各事業有固-建物-金属造のもの(骨格材の肉厚が3mm超4mm以下)-事務所建物</t>
  </si>
  <si>
    <t>各事業有固-建物-金属造のもの(骨格材の肉厚が3mm以下)-事務所建物</t>
  </si>
  <si>
    <t>各事業有固-建物-木造又は合成樹脂造のもの-事務所建物</t>
  </si>
  <si>
    <t>各事業有固-建物-木骨モルタル造のもの-事務所建物</t>
  </si>
  <si>
    <t>各事業有固-建物-簡易建物(木製主要柱10cm角以下で土居、杉皮ぶき等)-事務所建物</t>
  </si>
  <si>
    <t>各事業有固-建物-簡易建物(掘立造のもの及び仮設のもの)-事務所建物</t>
  </si>
  <si>
    <t>各事業有固-建物-鉄骨鉄筋コンクリート造又は鉄筋コンクリート造のもの-社宅及び寮建物</t>
  </si>
  <si>
    <t>各事業有固-建物-れんが造、石造又はブロック造のもの-社宅及び寮建物</t>
  </si>
  <si>
    <t>各事業有固-建物-金属造のもの(骨格材の肉厚が4mm超)-社宅及び寮建物</t>
  </si>
  <si>
    <t>各事業有固-建物-金属造のもの(骨格材の肉厚が3mm超4mm以下)-社宅及び寮建物</t>
  </si>
  <si>
    <t>各事業有固-建物-金属造のもの(骨格材の肉厚が3mm以下)-社宅及び寮建物</t>
  </si>
  <si>
    <t>各事業有固-建物-木造又は合成樹脂造のもの-社宅及び寮建物</t>
  </si>
  <si>
    <t>各事業有固-建物-木骨モルタル造のもの-社宅及び寮建物</t>
  </si>
  <si>
    <t>各事業有固-建物-簡易建物(木製主要柱10cm角以下で土居、杉皮ぶき等)-社宅及び寮建物</t>
  </si>
  <si>
    <t>各事業有固産-建物-簡易建物(掘立造のもの及び仮設のもの)-社宅及び寮建物</t>
  </si>
  <si>
    <t>各事業有固-建物付属設備-冷房、暖房、通風又はボイラー設備-冷凍機の出力が22キロワット以下のもの</t>
  </si>
  <si>
    <t>各事業有固-建物-雑建物-定額50年</t>
  </si>
  <si>
    <t>各事業有固-建物-雑建物-定額47年</t>
  </si>
  <si>
    <t>各事業有固-建物-雑建物-定額41年</t>
  </si>
  <si>
    <t>各事業有固-建物-雑建物-定額39年</t>
  </si>
  <si>
    <t>各事業有固-建物-雑建物-定額38年</t>
  </si>
  <si>
    <t>各事業有固-建物-雑建物-定額36年</t>
  </si>
  <si>
    <t>各事業有固-建物-雑建物-定額34年</t>
  </si>
  <si>
    <t>各事業有固-建物-雑建物-定額31年</t>
  </si>
  <si>
    <t>各事業有固-建物-雑建物-定額30年</t>
  </si>
  <si>
    <t>各事業有固-建物-雑建物-定額29年</t>
  </si>
  <si>
    <t>各事業有固-建物-雑建物-定額28年</t>
  </si>
  <si>
    <t>各事業有固-建物-雑建物-定額27年</t>
  </si>
  <si>
    <t>各事業有固-建物-雑建物-定額26年</t>
  </si>
  <si>
    <t>各事業有固-建物-雑建物-定額25年</t>
  </si>
  <si>
    <t>各事業有固-建物-雑建物-定額24年</t>
  </si>
  <si>
    <t>各事業有固-建物-雑建物-定額22年</t>
  </si>
  <si>
    <t>各事業有固-建物-雑建物-定額21年</t>
  </si>
  <si>
    <t>各事業有固-建物-雑建物-定額20年</t>
  </si>
  <si>
    <t>各事業有固-建物-雑建物-定額19年</t>
  </si>
  <si>
    <t>各事業有固-建物-雑建物-定額17年</t>
  </si>
  <si>
    <t>各事業有固-建物-雑建物-定額15年</t>
  </si>
  <si>
    <t>各事業有固-建物-雑建物-定額14年</t>
  </si>
  <si>
    <t>各事業有固-建物-雑建物-定額12年</t>
  </si>
  <si>
    <t>各事業有固-建物-雑建物-定額11年</t>
  </si>
  <si>
    <t>各事業有固-建物-雑建物-定額10年</t>
  </si>
  <si>
    <t>各事業有固-建物-雑建物-定額09年</t>
  </si>
  <si>
    <t>各事業有固-建物-雑建物-定額07年</t>
  </si>
  <si>
    <t>各事業有固-建物付属設備-電気設備(照明設備を含む。)-その他のもの-雑建物</t>
  </si>
  <si>
    <t>各事業有固-建物付属設備-給排水又は衛生設備及びガス設備-雑建物</t>
  </si>
  <si>
    <t>各事業有固-建物付属設備-冷房、暖房、通風又はボイラー設備-冷凍機の出力が22kw以下のもの-雑建物</t>
  </si>
  <si>
    <t>各事業有固-建物付属設備-冷房、暖房、通風又はボイラー設備-その他のもの-雑建物</t>
  </si>
  <si>
    <t>各事業有固-建物付属設備-昇降機設備-エレベーター-雑建物</t>
  </si>
  <si>
    <t>各事業有固-建物付属設備-昇降機設備-エスカレーター-雑建物</t>
  </si>
  <si>
    <t>各事業有固-建物付属設備-消火、排煙又は災害報知設備及び格納式避難設備-雑建物</t>
  </si>
  <si>
    <t>各事業有固-建物付属設備-エヤーカーテン又はドアー自動開閉設備-雑建物</t>
  </si>
  <si>
    <t>各事業有固-建物付属設備-アーケード又は日よけ設備-金属製-雑建物</t>
  </si>
  <si>
    <t>各事業有固-建物付属設備-アーケード又は日よけ設備-その他のもの-雑建物</t>
  </si>
  <si>
    <t>各事業有固-建物付属設備-店用簡易設備-雑建物</t>
  </si>
  <si>
    <t>各事業有固-建物付属設備-可動簡易装備-簡易なもの-雑建物</t>
  </si>
  <si>
    <t>各事業有固-建物付属設備-可動簡易装備-その他のもの-雑建物</t>
  </si>
  <si>
    <t>各事業有固-建物付属設備-前掲以外-主として金属製のもの-雑建物</t>
  </si>
  <si>
    <t>各事業有固-建物付属設備-前掲のもの以外のもの及び前掲の区分によらないもの-その他のもの-雑建物</t>
  </si>
  <si>
    <t>各事業有固-構築物-通信線</t>
  </si>
  <si>
    <t>各事業有固-構築物-電話機</t>
  </si>
  <si>
    <t>各事業有固-構築物-電気時計</t>
  </si>
  <si>
    <t>各事業有固-構築物-拡声装置</t>
  </si>
  <si>
    <t>各事業有固-構築物-通信諸設備</t>
  </si>
  <si>
    <t>各事業有固-構築物-配電線</t>
  </si>
  <si>
    <t>各事業有固-構築物-電灯電力線</t>
  </si>
  <si>
    <t>各事業有固-構築物-支持物-その他の支持物(電柱及び腕木を除く)</t>
  </si>
  <si>
    <t>各事業有固-構築物-支持物-その他の支持物(腕木を含む)</t>
  </si>
  <si>
    <t>各事業有固-機械装置-通信機械-交換設備</t>
  </si>
  <si>
    <t>各事業有固-機械装置-雑機械-その他の設備(主として金属製のもの)</t>
  </si>
  <si>
    <t>各事業有固-機械装置-雑機械-その他の設備(その他のもの)</t>
  </si>
  <si>
    <t>各事業有固-工具器具及び備品-工器備-測定工具・検査工具(電気・電子を利用するものを含む)</t>
  </si>
  <si>
    <t>各事業有固-工具器具及び備品-工器備-治具及び取付工具</t>
  </si>
  <si>
    <t>各事業有固-工具器具及び備品-工器備-ロール-金属圧延用のもの</t>
  </si>
  <si>
    <t>各事業有固-工具器具及び備品-工器備-ロール-なつ染・粉砕・混錬ロールその他のもの</t>
  </si>
  <si>
    <t>各事業有固-工具器具及び備品-工器備-型・鍛圧・打抜工具-ガラス成型用金型及び鋳造用型</t>
  </si>
  <si>
    <t>各事業有固-工具器具及び備品-工器備-型・鍛圧・打抜工具-その他のもの</t>
  </si>
  <si>
    <t>各事業有固-工具器具及び備品-工器備-切削工具</t>
  </si>
  <si>
    <t>各事業有固-工具器具及び備品-工器備-金属製柱及びカッペ</t>
  </si>
  <si>
    <t>各事業有固-工具器具及び備品-工器備-活字・活字に常用される金属-購入活字</t>
  </si>
  <si>
    <t>各事業有固-工具器具及び備品-工器備-活字・活字に常用される金属-自製活字</t>
  </si>
  <si>
    <t>各事業有固-工具器具及び備品-工器備-前掲以外-白金ノズル</t>
  </si>
  <si>
    <t>各事業有固-工具器具及び備品-工器備-前掲以外-その他のもの</t>
  </si>
  <si>
    <t>各事業有固-工具器具及び備品-工器備-前掲区分外-白金ノズル</t>
  </si>
  <si>
    <t>各事業有固-工具器具及び備品-工器備-前掲区分外-その他の主として金属製のもの</t>
  </si>
  <si>
    <t>各事業有固-工具器具及び備品-工器備-前掲区分外-その他のもの</t>
  </si>
  <si>
    <t>各事業有固-工具器具及び備品-工器備-家具・電気・ガス・家庭用品-事務机・いす(金属)</t>
  </si>
  <si>
    <t>各事業有固-工具器具及び備品-工器備-家具・電気・ガス・家庭用品-事務机・いす(その他)</t>
  </si>
  <si>
    <t>各事業有固-工具器具及び備品-工器備-家具・電気・ガス・家庭用品-応接セット(接客業用)</t>
  </si>
  <si>
    <t>各事業有固-工具器具及び備品-工器備-家具・電気・ガス・家庭用品-応接セット(その他)</t>
  </si>
  <si>
    <t>各事業有固-工具器具及び備品-工器備-家具・電気・ガス・家庭用品-ベット</t>
  </si>
  <si>
    <t>各事業有固-工具器具及び備品-工器備-家具・電気・ガス・家庭用品-児童用机及びいす</t>
  </si>
  <si>
    <t>各事業有固-工具器具及び備品-工器備-家具・電気・ガス・家庭用品-陳列棚(冷凍・冷蔵機付)</t>
  </si>
  <si>
    <t>各事業有固-工具器具及び備品-工器備-家具・電気・ガス・家庭用品-陳列棚(その他)</t>
  </si>
  <si>
    <t>各事業有固-工具器具及び備品-工器備-家具・電気・ガス・家庭用品-その他の家具(接客業用)</t>
  </si>
  <si>
    <t>各事業有固-工具器具及び備品-工器備-家具・電気・ガス・家庭用品-その他の家具(金属製)</t>
  </si>
  <si>
    <t>各事業有固-工具器具及び備品-工器備-家具・電気・ガス・家庭用品-その他の家具(その他)</t>
  </si>
  <si>
    <t>各事業有固-工具器具及び備品-工器備-家具・電気・ガス・家庭用品-その他の音響機器</t>
  </si>
  <si>
    <t>各事業有固-工具器具及び備品-工器備-家具・電気・ガス・家庭用品-冷房用又は暖房用機器</t>
  </si>
  <si>
    <t>各事業有固-工具器具及び備品-工器備-家具・電気・ガス・家庭用品-その他電気・ガス機器</t>
  </si>
  <si>
    <t>各事業有固-工具器具及び備品-工器備-家具・電気・ガス・家庭用品-氷冷蔵庫・冷蔵ストッカー</t>
  </si>
  <si>
    <t>各事業有固-工具器具及び備品-工器備-家具・電気・ガス・家庭用品-その他繊維製品</t>
  </si>
  <si>
    <t>各事業有固-工具器具及び備品-工器備-家具・電気・ガス・家庭用品-床用敷物(業務用)</t>
  </si>
  <si>
    <t>各事業有固-工具器具及び備品-工器備-家具・電気・ガス・家庭用品-床用敷物(その他)</t>
  </si>
  <si>
    <t>各事業有固-工具器具及び備品-工器備-家具・電気・ガス・家庭用品-室内装飾品(金属製)</t>
  </si>
  <si>
    <t>各事業有固-工具器具及び備品-工器備-家具・電気・ガス・家庭用品-室内装飾品(その他)</t>
  </si>
  <si>
    <t>各事業有固-工具器具及び備品-工器備-家具・電気・ガス・家庭用品-食事・厨房用品(陶磁器)</t>
  </si>
  <si>
    <t>各事業有固-工具器具及び備品-工器備-家具・電気・ガス・家庭用品-食事・厨房用品(その他)</t>
  </si>
  <si>
    <t>各事業有固-工具器具及び備品-工器備-家具・電気・ガス・家庭用品-その他のもの(金属製)</t>
  </si>
  <si>
    <t>各事業有固-工具器具及び備品-工器備-家具・電気・ガス・家庭用品-その他のもの(その他)</t>
  </si>
  <si>
    <t>各事業有固-工具器具及び備品-工器備-事務・通信機器-謄写機器・タイプライター(印書業用)</t>
  </si>
  <si>
    <t>各事業有固-工具器具及び備品-工器備-事務・通信機器-謄写機器・タイプライター(その他)</t>
  </si>
  <si>
    <t>各事業有固-工具器具及び備品-工器備-事務・通信機器-電子計算機(PC(サーバ用を除く))</t>
  </si>
  <si>
    <t>各事業有固-工具器具及び備品-工器備-事務・通信機器-電子計算機(その他)</t>
  </si>
  <si>
    <t>各事業有固-工具器具及び備品-工器備-事務・通信機器-複写機・計算機・金銭登録機</t>
  </si>
  <si>
    <t>各事業有固-工具器具及び備品-工器備-事務・通信機器-その他の事務機器</t>
  </si>
  <si>
    <t>各事業有固-工具器具及び備品-工器備-事務・通信機器-テレタイプライター及びファクシミリ</t>
  </si>
  <si>
    <t>各事業有固-工具器具及び備品-工器備-事務・通信機器-インターホーン及び放送用設備</t>
  </si>
  <si>
    <t>各事業有固-工具器具及び備品-工器備-事務・通信機器-その他の通信機器(デジタル構内交換)</t>
  </si>
  <si>
    <t>各事業有固-工具器具及び備品-工器備-事務・通信機器-その他の通信機器(その他のもの)</t>
  </si>
  <si>
    <t>各事業有固-工具器具及び備品-工器備-時計、試験機器及び測定機器-時計</t>
  </si>
  <si>
    <t>各事業有固-工具器具及び備品-工器備-時計、試験機器及び測定機器-度量衝器</t>
  </si>
  <si>
    <t>各事業有固-工具器具及び備品-工器備-時計、試験機器及び測定機器-試験又は測定機器</t>
  </si>
  <si>
    <t>各事業有固-工具器具及び備品-工器備-光学・写真製作機器-オペラグラス</t>
  </si>
  <si>
    <t>各事業有固-工具器具及び備品-工器備-光学・写真製作機器-カメラ、映画撮影機、映写機</t>
  </si>
  <si>
    <t>各事業有固-工具器具及び備品-工器備-光学・写真製作機器-その他の機器</t>
  </si>
  <si>
    <t>各事業有固-工具器具及び備品-工器備-看板・広告機器-看板、ネオンサイン及び気球</t>
  </si>
  <si>
    <t>各事業有固-工具器具及び備品-工器備-看板・広告機器-マネキン人形及び模型</t>
  </si>
  <si>
    <t>各事業有固-工具器具及び備品-工器備-看板・広告機器-その他のもの(主として金属製のもの)</t>
  </si>
  <si>
    <t>各事業有固-工具器具及び備品-工器備-看板・広告機器-その他のもの(その他のもの)</t>
  </si>
  <si>
    <t>各事業有固-工具器具及び備品-工器備-容器・金庫-ボンベ(溶接製のもの</t>
  </si>
  <si>
    <t>各事業有固-工具器具及び備品-工器備-容器・金庫-ボンベ(鍛造製)(塩素用のもの)</t>
  </si>
  <si>
    <t>各事業有固-工具器具及び備品-工器備-容器・金庫-ボンベ(鍛造製)(その他のもの)</t>
  </si>
  <si>
    <t>各事業有固-工具器具及び備品-工器備-容器・金庫-その他容器(コンテナ(長さが6m以上))</t>
  </si>
  <si>
    <t>各事業有固-工具器具及び備品-工器備-容器・金庫-その他の容器(金属製のもの)</t>
  </si>
  <si>
    <t>各事業有固-工具器具及び備品-工器備-容器・金庫-その他の容器(その他のもの)</t>
  </si>
  <si>
    <t>各事業有固-工具器具及び備品-工器備-容器・金庫-金庫(手さげ金庫)</t>
  </si>
  <si>
    <t>各事業有固-工具器具及び備品-工器備-容器・金庫-金庫(その他のもの)</t>
  </si>
  <si>
    <t>各事業有固-工具器具及び備品-工器備-医療機器-消毒殺菌用機器</t>
  </si>
  <si>
    <t>各事業有固-工具器具及び備品-工器備-医療機器-手術機器</t>
  </si>
  <si>
    <t>各事業有固-工具器具及び備品-工器備-医療機器-血液透析又は血しょう交換用機器</t>
  </si>
  <si>
    <t>各事業有固-工具器具及び備品-工器備-医療機器-その他の作動部分を有する機能回復訓練機器</t>
  </si>
  <si>
    <t>各事業有固-工具器具及び備品-工器備-医療機器-調剤機器</t>
  </si>
  <si>
    <t>各事業有固-工具器具及び備品-工器備-医療機器-歯科診療用ユニット</t>
  </si>
  <si>
    <t>各事業有固-工具器具及び備品-工器備-医療機器-光学検査機器(ファイバースコープ)</t>
  </si>
  <si>
    <t>各事業有固-工具器具及び備品-工器備-医療機器-光学検査機器(その他のもの)</t>
  </si>
  <si>
    <t>各事業有固-工具器具及び備品-工器備-医療機器-その他の電子装置を使用する機器(移動式)</t>
  </si>
  <si>
    <t>各事業有固-工具器具及び備品-工器備-医療機器-その他の電子装置を使用する機器(その他)</t>
  </si>
  <si>
    <t>各事業有固-工具器具及び備品-工器備-医療機器-その他のもの(陶磁器製又はガラス製のもの)</t>
  </si>
  <si>
    <t>各事業有固-工具器具及び備品-工器備-医療機器-その他のもの(主として金属製のもの)</t>
  </si>
  <si>
    <t>各事業有固-工具器具及び備品-工器備-医療機器-その他のもの(その他のもの)</t>
  </si>
  <si>
    <t>各事業有固-工具器具及び備品-工器備-前掲以外-映画フイルム・磁気テープ・レコード</t>
  </si>
  <si>
    <t>各事業有固-工具器具及び備品-工器備-前掲以外-シート及びロープ</t>
  </si>
  <si>
    <t>各事業有固-工具器具及び備品-工器備-前掲以外-きのこ栽培用ほだ木</t>
  </si>
  <si>
    <t>各事業有固-工具器具及び備品-工器備-前掲以外-漁具</t>
  </si>
  <si>
    <t>各事業有固-工具器具及び備品-工器備-前掲以外-葬儀用具</t>
  </si>
  <si>
    <t>各事業有固-工具器具及び備品-工器備-前掲以外-楽器</t>
  </si>
  <si>
    <t>各事業有固-工具器具及び備品-工器備-前掲以外-自動販売機(手動のものを含む。)</t>
  </si>
  <si>
    <t>各事業有固-工具器具及び備品-工器備-前掲以外-無人駐車管理装置</t>
  </si>
  <si>
    <t>各事業有固-工具器具及び備品-工器備-前掲以外-焼却炉</t>
  </si>
  <si>
    <t>各事業有固-工具器具及び備品-工器備-前掲以外-その他のもの(主として金属製のもの)</t>
  </si>
  <si>
    <t>各事業有固-工具器具及び備品-工器備-前掲以外-その他のもの(その他のもの)</t>
  </si>
  <si>
    <t>各事業有固-工具器具及び備品-運搬具-前掲以外-自動車-小型車(総排気量が0.66l以下)</t>
  </si>
  <si>
    <t>各事業有固-工具器具及び備品-運搬具-前掲以外-自動車-その他-貨物自動車-ダンプ式のもの</t>
  </si>
  <si>
    <t>各事業有固-工具器具及び備品-運搬具-前掲以外-自動車-その他-貨物自動車-その他のもの</t>
  </si>
  <si>
    <t>各事業有固-工具器具及び備品-運搬具-前掲以外-自動車-その他-報道通信用のもの</t>
  </si>
  <si>
    <t>各事業有固-工具器具及び備品-運搬具-前掲以外-自動車-その他-その他</t>
  </si>
  <si>
    <t>各事業有固-工具器具及び備品-運搬具-前掲以外-２輪又は３輪自動車</t>
  </si>
  <si>
    <t>各事業有固-工具器具及び備品-運搬具-前掲以外-自転車</t>
  </si>
  <si>
    <t>各事業有固-工具器具及び備品-運搬具-前掲以外-鉱山用人車、炭車、鉱車及び台車-金属製</t>
  </si>
  <si>
    <t>各事業有固-工具器具及び備品-運搬具-前掲以外-鉱山用人車、炭車、鉱車及び台車-その他</t>
  </si>
  <si>
    <t>各事業有固-工具器具及び備品-運搬具-前掲以外-フォークリフト</t>
  </si>
  <si>
    <t>各事業有固-工具器具及び備品-運搬具-前掲以外-トロッコ-金属製のもの</t>
  </si>
  <si>
    <t>各事業有固-工具器具及び備品-運搬具-前掲以外-トロッコ-その他のもの</t>
  </si>
  <si>
    <t>各事業有固-工具器具及び備品-運搬具-前掲以外-その他のもの-自走能力を有するもの</t>
  </si>
  <si>
    <t>各事業有固-工具器具及び備品-運搬具-前掲以外-その他のもの-その他のもの</t>
  </si>
  <si>
    <t>各事業有固-リース資産-土地</t>
  </si>
  <si>
    <t>各事業有固-リース資産-建物</t>
  </si>
  <si>
    <t>各事業有固-リース資産-構築物</t>
  </si>
  <si>
    <t>各事業有固-リース資産-車両</t>
  </si>
  <si>
    <t>各事業有固-リース資産-機械装置</t>
  </si>
  <si>
    <t>各事業有固-リース資産-工具器具及び備品</t>
  </si>
  <si>
    <t>各事業有固-雑施設</t>
  </si>
  <si>
    <t>A0100001</t>
  </si>
  <si>
    <t>鉄道無固-のれん</t>
  </si>
  <si>
    <t>A0500001</t>
  </si>
  <si>
    <t>鉄道無固-借地権</t>
  </si>
  <si>
    <t>A1000001</t>
  </si>
  <si>
    <t>鉄道無固-地上権</t>
  </si>
  <si>
    <t>A1500001</t>
  </si>
  <si>
    <t>鉄道無固-商標権</t>
  </si>
  <si>
    <t>A2000001</t>
  </si>
  <si>
    <t>鉄道無固-電話加入権</t>
  </si>
  <si>
    <t>A2500001</t>
  </si>
  <si>
    <t>鉄道無固-特許権</t>
  </si>
  <si>
    <t>A3000001</t>
  </si>
  <si>
    <t>鉄道無固-連絡通行施設利用権</t>
  </si>
  <si>
    <t>A3500001</t>
  </si>
  <si>
    <t>鉄道無固-電話施設利用権</t>
  </si>
  <si>
    <t>A4000001</t>
  </si>
  <si>
    <t>鉄道無固-電気供給施設利用権</t>
  </si>
  <si>
    <t>A4500001</t>
  </si>
  <si>
    <t>鉄道無固-ガス供給施設利用権</t>
  </si>
  <si>
    <t>A5000001</t>
  </si>
  <si>
    <t>鉄道無固-熱供給施設利用権</t>
  </si>
  <si>
    <t>A5500001</t>
  </si>
  <si>
    <t>鉄道無固-水道施設利用権</t>
  </si>
  <si>
    <t>A6000001</t>
  </si>
  <si>
    <t>鉄道無固-温泉利用権</t>
  </si>
  <si>
    <t>A6500001</t>
  </si>
  <si>
    <t>鉄道無固-水利権</t>
  </si>
  <si>
    <t>A7000001</t>
  </si>
  <si>
    <t>鉄道無固-ソフトウェア-販売目的</t>
  </si>
  <si>
    <t>A7000002</t>
  </si>
  <si>
    <t>鉄道無固-ソフトウェア-その他</t>
  </si>
  <si>
    <t>A7500001</t>
  </si>
  <si>
    <t>鉄道無固-リース資産</t>
  </si>
  <si>
    <t>A9900001</t>
  </si>
  <si>
    <t>鉄道無固-その他の施設利用権</t>
  </si>
  <si>
    <t>B0100001</t>
  </si>
  <si>
    <t>広告無固-のれん</t>
  </si>
  <si>
    <t>B0500001</t>
  </si>
  <si>
    <t>広告無固-借地権</t>
  </si>
  <si>
    <t>B1000001</t>
  </si>
  <si>
    <t>広告無固-地上権</t>
  </si>
  <si>
    <t>B1500001</t>
  </si>
  <si>
    <t>広告無固-商標権</t>
  </si>
  <si>
    <t>B2000001</t>
  </si>
  <si>
    <t>広告無固-電話加入権</t>
  </si>
  <si>
    <t>B2500001</t>
  </si>
  <si>
    <t>広告無固-特許権</t>
  </si>
  <si>
    <t>B3000001</t>
  </si>
  <si>
    <t>広告無固-連絡通行施設利用権</t>
  </si>
  <si>
    <t>B3500001</t>
  </si>
  <si>
    <t>広告無固-電話施設利用権</t>
  </si>
  <si>
    <t>B4000001</t>
  </si>
  <si>
    <t>広告無固-電気供給施設利用権</t>
  </si>
  <si>
    <t>B4500001</t>
  </si>
  <si>
    <t>広告無固-ガス供給施設利用権</t>
  </si>
  <si>
    <t>B5000001</t>
  </si>
  <si>
    <t>広告無固-熱供給施設利用権</t>
  </si>
  <si>
    <t>B5500001</t>
  </si>
  <si>
    <t>広告無固-水道施設利用権</t>
  </si>
  <si>
    <t>B6000001</t>
  </si>
  <si>
    <t>広告無固-温泉利用権</t>
  </si>
  <si>
    <t>B6500001</t>
  </si>
  <si>
    <t>広告無固-水利権</t>
  </si>
  <si>
    <t>B7000001</t>
  </si>
  <si>
    <t>広告無固-ソフトウェア-販売目的</t>
  </si>
  <si>
    <t>B7000002</t>
  </si>
  <si>
    <t>広告無固-ソフトウェア-その他</t>
  </si>
  <si>
    <t>B7500001</t>
  </si>
  <si>
    <t>広告無固-リース資産</t>
  </si>
  <si>
    <t>B9900001</t>
  </si>
  <si>
    <t>広告無固-その他の施設利用権</t>
  </si>
  <si>
    <t>C0100001</t>
  </si>
  <si>
    <t>不動産無固-のれん</t>
  </si>
  <si>
    <t>C0500001</t>
  </si>
  <si>
    <t>不動産無固-借地権</t>
  </si>
  <si>
    <t>C1000001</t>
  </si>
  <si>
    <t>不動産無固-地上権</t>
  </si>
  <si>
    <t>C1500001</t>
  </si>
  <si>
    <t>不動産無固-商標権</t>
  </si>
  <si>
    <t>C2000001</t>
  </si>
  <si>
    <t>不動産無固-電話加入権</t>
  </si>
  <si>
    <t>C2500001</t>
  </si>
  <si>
    <t>不動産無固-特許権</t>
  </si>
  <si>
    <t>C3000001</t>
  </si>
  <si>
    <t>不動産無固-連絡通行施設利用権</t>
  </si>
  <si>
    <t>C3500001</t>
  </si>
  <si>
    <t>不動産無固-電話施設利用権</t>
  </si>
  <si>
    <t>C4000001</t>
  </si>
  <si>
    <t>不動産無固-電気供給施設利用権</t>
  </si>
  <si>
    <t>C4500001</t>
  </si>
  <si>
    <t>不動産無固-ガス供給施設利用権</t>
  </si>
  <si>
    <t>C5000001</t>
  </si>
  <si>
    <t>不動産無固-熱供給施設利用権</t>
  </si>
  <si>
    <t>C5500001</t>
  </si>
  <si>
    <t>不動産無固-水道施設利用権</t>
  </si>
  <si>
    <t>C6000001</t>
  </si>
  <si>
    <t>不動産無固-温泉利用権</t>
  </si>
  <si>
    <t>C6500001</t>
  </si>
  <si>
    <t>不動産無固-水利権</t>
  </si>
  <si>
    <t>C7000001</t>
  </si>
  <si>
    <t>不動産無固-ソフトウェア-販売目的</t>
  </si>
  <si>
    <t>C7000002</t>
  </si>
  <si>
    <t>不動産無固-ソフトウェア-その他</t>
  </si>
  <si>
    <t>C7500001</t>
  </si>
  <si>
    <t>不動産無固-リース資産</t>
  </si>
  <si>
    <t>C9900001</t>
  </si>
  <si>
    <t>不動産無固-その他の施設利用権</t>
  </si>
  <si>
    <t>D0100001</t>
  </si>
  <si>
    <t>流通無固-のれん</t>
  </si>
  <si>
    <t>D0500001</t>
  </si>
  <si>
    <t>流通無固-借地権</t>
  </si>
  <si>
    <t>D1000001</t>
  </si>
  <si>
    <t>流通無固-地上権</t>
  </si>
  <si>
    <t>D1500001</t>
  </si>
  <si>
    <t>流通無固-商標権</t>
  </si>
  <si>
    <t>D2000001</t>
  </si>
  <si>
    <t>流通無固-電話加入権</t>
  </si>
  <si>
    <t>D2500001</t>
  </si>
  <si>
    <t>流通無固-特許権</t>
  </si>
  <si>
    <t>D3000001</t>
  </si>
  <si>
    <t>流通無固-連絡通行施設利用権</t>
  </si>
  <si>
    <t>D3500001</t>
  </si>
  <si>
    <t>流通無固-電話施設利用権</t>
  </si>
  <si>
    <t>D4000001</t>
  </si>
  <si>
    <t>流通無固-電気供給施設利用権</t>
  </si>
  <si>
    <t>D4500001</t>
  </si>
  <si>
    <t>流通無固-ガス供給施設利用権</t>
  </si>
  <si>
    <t>D5000001</t>
  </si>
  <si>
    <t>流通無固-熱供給施設利用権</t>
  </si>
  <si>
    <t>D5500001</t>
  </si>
  <si>
    <t>流通無固-水道施設利用権</t>
  </si>
  <si>
    <t>D6000001</t>
  </si>
  <si>
    <t>流通無固-温泉利用権</t>
  </si>
  <si>
    <t>D6500001</t>
  </si>
  <si>
    <t>流通無固-水利権</t>
  </si>
  <si>
    <t>D7000001</t>
  </si>
  <si>
    <t>流通無固-ソフトウェア-販売目的</t>
  </si>
  <si>
    <t>D7000002</t>
  </si>
  <si>
    <t>流通無固-ソフトウェア-その他</t>
  </si>
  <si>
    <t>D7500001</t>
  </si>
  <si>
    <t>流通無固-リース資産</t>
  </si>
  <si>
    <t>D9900001</t>
  </si>
  <si>
    <t>流通無固-その他の施設利用権</t>
  </si>
  <si>
    <t>E0100001</t>
  </si>
  <si>
    <t>サービス無固-のれん</t>
  </si>
  <si>
    <t>E0500001</t>
  </si>
  <si>
    <t>サービス無固-借地権</t>
  </si>
  <si>
    <t>E1000001</t>
  </si>
  <si>
    <t>サービス無固-地上権</t>
  </si>
  <si>
    <t>E1500001</t>
  </si>
  <si>
    <t>サービス無固-商標権</t>
  </si>
  <si>
    <t>E2000001</t>
  </si>
  <si>
    <t>サービス無固-電話加入権</t>
  </si>
  <si>
    <t>E2500001</t>
  </si>
  <si>
    <t>サービス無固-特許権</t>
  </si>
  <si>
    <t>E3000001</t>
  </si>
  <si>
    <t>サービス無固-連絡通行施設利用権</t>
  </si>
  <si>
    <t>E3500001</t>
  </si>
  <si>
    <t>サービス無固-電話施設利用権</t>
  </si>
  <si>
    <t>E4000001</t>
  </si>
  <si>
    <t>サービス無固-電気供給施設利用権</t>
  </si>
  <si>
    <t>E4500001</t>
  </si>
  <si>
    <t>サービス無固-ガス供給施設利用権</t>
  </si>
  <si>
    <t>E5000001</t>
  </si>
  <si>
    <t>サービス無固-熱供給施設利用権</t>
  </si>
  <si>
    <t>E5500001</t>
  </si>
  <si>
    <t>サービス無固-水道施設利用権</t>
  </si>
  <si>
    <t>E6000001</t>
  </si>
  <si>
    <t>サービス無固-温泉利用権</t>
  </si>
  <si>
    <t>E6500001</t>
  </si>
  <si>
    <t>サービス無固-水利権</t>
  </si>
  <si>
    <t>E7000001</t>
  </si>
  <si>
    <t>サービス無固-ソフトウェア-販売目的</t>
  </si>
  <si>
    <t>E7000002</t>
  </si>
  <si>
    <t>サービス無固-ソフトウェア-その他</t>
  </si>
  <si>
    <t>E7500001</t>
  </si>
  <si>
    <t>サービス無固-リース資産</t>
  </si>
  <si>
    <t>E9900001</t>
  </si>
  <si>
    <t>サービス無固-その他の施設利用権</t>
  </si>
  <si>
    <t>F0100001</t>
  </si>
  <si>
    <t>各事業無固-のれん</t>
  </si>
  <si>
    <t>F0500001</t>
  </si>
  <si>
    <t>F1000001</t>
  </si>
  <si>
    <t>F1500001</t>
  </si>
  <si>
    <t>F2000001</t>
  </si>
  <si>
    <t>各事業無固-電話加入権</t>
  </si>
  <si>
    <t>F2500001</t>
  </si>
  <si>
    <t>各事業無固-特許権</t>
  </si>
  <si>
    <t>F3000001</t>
  </si>
  <si>
    <t>各事業無固-連絡通行施設利用権</t>
  </si>
  <si>
    <t>F3500001</t>
  </si>
  <si>
    <t>各事業無固-電話施設利用権</t>
  </si>
  <si>
    <t>F4000001</t>
  </si>
  <si>
    <t>各事業無固-電気供給施設利用権</t>
  </si>
  <si>
    <t>F4500001</t>
  </si>
  <si>
    <t>各事業無固-ガス供給施設利用権</t>
  </si>
  <si>
    <t>F5000001</t>
  </si>
  <si>
    <t>各事業無固-熱供給施設利用権</t>
  </si>
  <si>
    <t>F5500001</t>
  </si>
  <si>
    <t>各事業無固-水道施設利用権</t>
  </si>
  <si>
    <t>F6000001</t>
  </si>
  <si>
    <t>各事業無固-温泉利用権</t>
  </si>
  <si>
    <t>F6500001</t>
  </si>
  <si>
    <t>各事業無固-水利権</t>
  </si>
  <si>
    <t>F7000001</t>
  </si>
  <si>
    <t>各事業無固-ソフトウェア-販売目的</t>
  </si>
  <si>
    <t>F7000002</t>
  </si>
  <si>
    <t>各事業無固-ソフトウェア-その他</t>
  </si>
  <si>
    <t>F7500001</t>
  </si>
  <si>
    <t>各事業無固-リース資産</t>
  </si>
  <si>
    <t>F9900001</t>
  </si>
  <si>
    <t>各事業無固-その他の施設利用権</t>
  </si>
  <si>
    <t>第２階層ｺｰﾄﾞ</t>
    <rPh sb="0" eb="1">
      <t>ダイ</t>
    </rPh>
    <rPh sb="2" eb="4">
      <t>カイソウ</t>
    </rPh>
    <phoneticPr fontId="2"/>
  </si>
  <si>
    <t>既発注金額</t>
    <rPh sb="0" eb="1">
      <t>キ</t>
    </rPh>
    <rPh sb="1" eb="3">
      <t>ハッチュウ</t>
    </rPh>
    <rPh sb="3" eb="5">
      <t>キンガク</t>
    </rPh>
    <phoneticPr fontId="2"/>
  </si>
  <si>
    <t>今回変更金額</t>
    <rPh sb="0" eb="2">
      <t>コンカイ</t>
    </rPh>
    <rPh sb="2" eb="4">
      <t>ヘンコウ</t>
    </rPh>
    <rPh sb="4" eb="6">
      <t>キンガク</t>
    </rPh>
    <phoneticPr fontId="2"/>
  </si>
  <si>
    <t>コード</t>
  </si>
  <si>
    <t>名称</t>
    <rPh sb="0" eb="2">
      <t>メイショウ</t>
    </rPh>
    <phoneticPr fontId="5"/>
  </si>
  <si>
    <t>鉄有固-構築物-橋りょう-その他のもの</t>
    <rPh sb="2" eb="3">
      <t>カタム</t>
    </rPh>
    <rPh sb="15" eb="16">
      <t>タ</t>
    </rPh>
    <phoneticPr fontId="1"/>
  </si>
  <si>
    <t>鉄有固-構築物-高架橋-鉄骨造り</t>
    <rPh sb="12" eb="14">
      <t>テッコツ</t>
    </rPh>
    <phoneticPr fontId="1"/>
  </si>
  <si>
    <t>鉄有固-構築物-高架橋-その他のもの</t>
    <rPh sb="8" eb="11">
      <t>コウカキョウ</t>
    </rPh>
    <rPh sb="14" eb="15">
      <t>タ</t>
    </rPh>
    <phoneticPr fontId="1"/>
  </si>
  <si>
    <t>鉄有固-構築物-トンネル-その他のもの</t>
    <rPh sb="15" eb="16">
      <t>タ</t>
    </rPh>
    <phoneticPr fontId="1"/>
  </si>
  <si>
    <t>鉄有固-構築物-線路諸設備-防護設備</t>
    <rPh sb="0" eb="1">
      <t>テツ</t>
    </rPh>
    <rPh sb="1" eb="2">
      <t>ユウ</t>
    </rPh>
    <rPh sb="2" eb="3">
      <t>カタム</t>
    </rPh>
    <rPh sb="14" eb="16">
      <t>ボウゴ</t>
    </rPh>
    <phoneticPr fontId="1"/>
  </si>
  <si>
    <t>鉄有固-構築物-線路諸設備-さくがき</t>
    <rPh sb="0" eb="1">
      <t>テツ</t>
    </rPh>
    <rPh sb="1" eb="2">
      <t>ユウ</t>
    </rPh>
    <rPh sb="2" eb="3">
      <t>カタム</t>
    </rPh>
    <phoneticPr fontId="1"/>
  </si>
  <si>
    <t>鉄有固-構築物-線路諸設備-雑設備</t>
    <rPh sb="0" eb="1">
      <t>テツ</t>
    </rPh>
    <phoneticPr fontId="1"/>
  </si>
  <si>
    <t>鉄有固-構築物-雑設備</t>
  </si>
  <si>
    <t>鉄有固-構築物-車庫工場-舗装道路・舗装路面-コンクリート敷、ブロック敷・煉瓦敷・石敷</t>
  </si>
  <si>
    <t>鉄有固-構築物-車庫工場-舗装道路・舗装路面-アスファルト敷又は木れんが敷のもの</t>
  </si>
  <si>
    <t>鉄有固-構築物-車庫工場-舗装道路・舗装路面-ビチュ－マルス敷のもの</t>
  </si>
  <si>
    <t>鉄有固-構築物-車庫工場-鉄骨鉄筋コンクリート造・鉄筋コンクリート造-へい</t>
  </si>
  <si>
    <t>鉄有固-構築物-車庫工場-鉄骨鉄筋コンクリート造・鉄筋コンクリート造-その他のもの</t>
  </si>
  <si>
    <t>鉄有固-構築物-車庫工場-コンクリート造・コンクリートブロック造-へい</t>
  </si>
  <si>
    <t>鉄有固-構築物-車庫工場-コンクリート造・コンクリートブロック造-その他のもの</t>
  </si>
  <si>
    <t>鉄有固-構築物-車庫工場-金属造-へい</t>
  </si>
  <si>
    <t>鉄有固-構築物-車庫工場-金属造-その他のもの</t>
  </si>
  <si>
    <t>鉄有固-構築物-車庫工場-木造-へい</t>
  </si>
  <si>
    <t>鉄有固-構築物-車庫工場-木造-その他のもの</t>
  </si>
  <si>
    <t>鉄有固-構築物-変電所-舗装道路・舗装路面-コンクリート敷、ブロック敷・煉瓦敷・石敷</t>
  </si>
  <si>
    <t>鉄有固-構築物-変電所-舗装道路・舗装路面-アスファルト敷又は木れんが敷のもの</t>
  </si>
  <si>
    <t>鉄有固-構築物-変電所-舗装道路・舗装路面-ビチュ－マルス敷のもの</t>
  </si>
  <si>
    <t>鉄有固-構築物-変電所-鉄骨鉄筋コンクリート造・鉄筋コンクリート造-へい</t>
  </si>
  <si>
    <t>鉄有固-構築物-変電所-鉄骨鉄筋コンクリート造・鉄筋コンクリート造-その他のもの</t>
  </si>
  <si>
    <t>鉄有固-構築物-変電所-コンクリート造・コンクリートブロック造-へい</t>
  </si>
  <si>
    <t>鉄有固-構築物-変電所-コンクリート造・コンクリートブロック造-その他のもの</t>
  </si>
  <si>
    <t>鉄有固-構築物-変電所-金属造-へい</t>
  </si>
  <si>
    <t>鉄有固-構築物-変電所-金属造-その他のもの</t>
  </si>
  <si>
    <t>鉄有固-構築物-変電所-木造-へい</t>
  </si>
  <si>
    <t>鉄有固-構築物-変電所-木造-その他のもの</t>
  </si>
  <si>
    <t>鉄有固-構築物-雑構築物-舗装道路・舗装路面-コンクリート敷、ブロック敷・煉瓦敷・石敷</t>
  </si>
  <si>
    <t>鉄有固-構築物-雑構築物-舗装道路・舗装路面-アスファルト敷又は木れんが敷のもの</t>
  </si>
  <si>
    <t>鉄有固-構築物-雑構築物-舗装道路・舗装路面-ビチュ－マルス敷のもの</t>
  </si>
  <si>
    <t>鉄有固-構築物-雑構築物-鉄骨鉄筋コンクリート造・鉄筋コンクリート造-へい</t>
  </si>
  <si>
    <t>鉄有固-構築物-雑構築物-鉄骨鉄筋コンクリート造・鉄筋コンクリート造-その他のもの</t>
  </si>
  <si>
    <t>鉄有固-構築物-雑構築物-鉄骨鉄筋コンクリート造・鉄筋コンクリート造-上水道、水そう</t>
  </si>
  <si>
    <t>鉄有固-構築物-雑構築物-コンクリート造・コンクリートブロック造-へい</t>
  </si>
  <si>
    <t>鉄有固-構築物-雑構築物-コンクリート造・コンクリートブロック造-その他のもの</t>
  </si>
  <si>
    <t>鉄有固-構築物-雑構築物-金属造-へい</t>
  </si>
  <si>
    <t>鉄有固-構築物-雑構築物-金属造-その他のもの</t>
  </si>
  <si>
    <t>鉄有固-構築物-雑構築物-金属造-水そう及び油そう－鋼鉄製のもの</t>
  </si>
  <si>
    <t>鉄有固-構築物-雑構築物-金属造-焼却炉</t>
    <rPh sb="17" eb="20">
      <t>ショウキャクロ</t>
    </rPh>
    <phoneticPr fontId="1"/>
  </si>
  <si>
    <t>鉄有固-構築物-雑構築物-金属造-送配管-鋼鉄製</t>
  </si>
  <si>
    <t>鉄有固-構築物-雑構築物-木造-へい</t>
  </si>
  <si>
    <t>鉄有固-構築物-雑構築物-木造-その他のもの</t>
  </si>
  <si>
    <t>鉄有固-構築物-雑構築物-前掲以外のもの-その他のもの</t>
  </si>
  <si>
    <t>鉄有固-構築物-雑構築物-緑化施設及び庭園-その他のもの</t>
  </si>
  <si>
    <t>鉄有固-構築物-雑構築物-広告用のもの-その他のもの</t>
    <rPh sb="13" eb="16">
      <t>コウコクヨウ</t>
    </rPh>
    <phoneticPr fontId="1"/>
  </si>
  <si>
    <t>鉄有固-車両-予備品</t>
    <rPh sb="7" eb="10">
      <t>ヨビヒン</t>
    </rPh>
    <phoneticPr fontId="1"/>
  </si>
  <si>
    <t>鉄有固-工具器具及び備品-工器備-美術品(非償却)</t>
    <rPh sb="17" eb="19">
      <t>ビジュツ</t>
    </rPh>
    <rPh sb="19" eb="20">
      <t>ヒン</t>
    </rPh>
    <rPh sb="21" eb="22">
      <t>ヒ</t>
    </rPh>
    <rPh sb="22" eb="24">
      <t>ショウキャク</t>
    </rPh>
    <phoneticPr fontId="1"/>
  </si>
  <si>
    <t>鉄有固-工具器具及び備品-工器備-美術品-償却(主として金属製のもの)</t>
    <rPh sb="17" eb="19">
      <t>ビジュツ</t>
    </rPh>
    <rPh sb="19" eb="20">
      <t>ヒン</t>
    </rPh>
    <phoneticPr fontId="1"/>
  </si>
  <si>
    <t>鉄有固-工具器具及び備品-工器備-美術品-償却(その他のもの)</t>
    <rPh sb="17" eb="19">
      <t>ビジュツ</t>
    </rPh>
    <rPh sb="19" eb="20">
      <t>ヒン</t>
    </rPh>
    <phoneticPr fontId="1"/>
  </si>
  <si>
    <t>鉄有固-工具器具及び備品-運搬具-前掲以外-乗合自動車</t>
    <rPh sb="17" eb="19">
      <t>ゼンケイ</t>
    </rPh>
    <rPh sb="19" eb="21">
      <t>イガイ</t>
    </rPh>
    <rPh sb="22" eb="27">
      <t>ノリアイジドウシャ</t>
    </rPh>
    <phoneticPr fontId="1"/>
  </si>
  <si>
    <t>鉄有固-案内宣伝施設 建物-簡易建物(木製主要柱が10cm角以下で土居、杉皮ぶき等)-社宅・寮建物</t>
    <rPh sb="47" eb="49">
      <t>タテモノ</t>
    </rPh>
    <phoneticPr fontId="1"/>
  </si>
  <si>
    <t>建設仮勘定-広告事業-ソフトウェア</t>
    <rPh sb="6" eb="8">
      <t>コウコク</t>
    </rPh>
    <phoneticPr fontId="1"/>
  </si>
  <si>
    <t>建設仮勘定-各事業関連-直接費</t>
    <rPh sb="6" eb="9">
      <t>カクジギョウ</t>
    </rPh>
    <rPh sb="9" eb="11">
      <t>カンレン</t>
    </rPh>
    <rPh sb="12" eb="14">
      <t>チョクセツ</t>
    </rPh>
    <rPh sb="14" eb="15">
      <t>ヒ</t>
    </rPh>
    <phoneticPr fontId="1"/>
  </si>
  <si>
    <t>建設仮勘定-各事業関連-間接費</t>
    <rPh sb="6" eb="9">
      <t>カクジギョウ</t>
    </rPh>
    <rPh sb="9" eb="11">
      <t>カンレン</t>
    </rPh>
    <rPh sb="12" eb="14">
      <t>カンセツ</t>
    </rPh>
    <rPh sb="14" eb="15">
      <t>ヒ</t>
    </rPh>
    <phoneticPr fontId="1"/>
  </si>
  <si>
    <t>各事業有固-建物付属設備-電気設備(照明設備を含む。)-蓄電池電源設備-雑建物</t>
    <rPh sb="36" eb="37">
      <t>ザツ</t>
    </rPh>
    <rPh sb="37" eb="39">
      <t>タテモノ</t>
    </rPh>
    <phoneticPr fontId="1"/>
  </si>
  <si>
    <t>各事業有固-工具器具及び備品-工器備-美術品(非償却)</t>
    <rPh sb="19" eb="21">
      <t>ビジュツ</t>
    </rPh>
    <rPh sb="21" eb="22">
      <t>ヒン</t>
    </rPh>
    <rPh sb="23" eb="24">
      <t>ヒ</t>
    </rPh>
    <rPh sb="24" eb="26">
      <t>ショウキャク</t>
    </rPh>
    <phoneticPr fontId="1"/>
  </si>
  <si>
    <t>各事業有固-工具器具及び備品-工器備-美術品-償却(主として金属製のもの)</t>
    <rPh sb="19" eb="21">
      <t>ビジュツ</t>
    </rPh>
    <rPh sb="21" eb="22">
      <t>ヒン</t>
    </rPh>
    <phoneticPr fontId="1"/>
  </si>
  <si>
    <t>各事業有固-工具器具及び備品-工器備-美術品-償却(その他のもの)</t>
    <rPh sb="19" eb="21">
      <t>ビジュツ</t>
    </rPh>
    <rPh sb="21" eb="22">
      <t>ヒン</t>
    </rPh>
    <phoneticPr fontId="1"/>
  </si>
  <si>
    <t>各事業無固-借地権</t>
    <rPh sb="6" eb="8">
      <t>シャクチ</t>
    </rPh>
    <rPh sb="8" eb="9">
      <t>ケン</t>
    </rPh>
    <phoneticPr fontId="1"/>
  </si>
  <si>
    <t>各事業無固-地上権</t>
    <rPh sb="6" eb="9">
      <t>チジョウケン</t>
    </rPh>
    <phoneticPr fontId="1"/>
  </si>
  <si>
    <t>各事業無固-商標権</t>
    <rPh sb="6" eb="9">
      <t>ショウヒョウケン</t>
    </rPh>
    <phoneticPr fontId="1"/>
  </si>
  <si>
    <t>資産クラス</t>
    <rPh sb="0" eb="2">
      <t>シサン</t>
    </rPh>
    <phoneticPr fontId="2"/>
  </si>
  <si>
    <t>率算出共通仮設費</t>
    <rPh sb="0" eb="1">
      <t>リツ</t>
    </rPh>
    <rPh sb="1" eb="3">
      <t>サンシュツ</t>
    </rPh>
    <rPh sb="3" eb="5">
      <t>キョウツウ</t>
    </rPh>
    <rPh sb="5" eb="7">
      <t>カセツ</t>
    </rPh>
    <rPh sb="7" eb="8">
      <t>ヒ</t>
    </rPh>
    <phoneticPr fontId="2"/>
  </si>
  <si>
    <t>式</t>
    <rPh sb="0" eb="1">
      <t>シキ</t>
    </rPh>
    <phoneticPr fontId="2"/>
  </si>
  <si>
    <t>純工事費（×Ｒ）</t>
    <rPh sb="0" eb="1">
      <t>ジュン</t>
    </rPh>
    <rPh sb="1" eb="4">
      <t>コウジヒ</t>
    </rPh>
    <phoneticPr fontId="2"/>
  </si>
  <si>
    <t>変更工事価格（×Ｒ）</t>
    <rPh sb="0" eb="2">
      <t>ヘンコウ</t>
    </rPh>
    <rPh sb="2" eb="4">
      <t>コウジ</t>
    </rPh>
    <rPh sb="4" eb="6">
      <t>カカク</t>
    </rPh>
    <phoneticPr fontId="2"/>
  </si>
  <si>
    <t>共通仮設費</t>
    <rPh sb="0" eb="2">
      <t>キョウツウ</t>
    </rPh>
    <rPh sb="2" eb="4">
      <t>カセツ</t>
    </rPh>
    <rPh sb="4" eb="5">
      <t>ヒ</t>
    </rPh>
    <phoneticPr fontId="2"/>
  </si>
  <si>
    <t>式</t>
    <phoneticPr fontId="2"/>
  </si>
  <si>
    <t>廃プラ</t>
    <phoneticPr fontId="2"/>
  </si>
  <si>
    <t>がれき</t>
    <phoneticPr fontId="2"/>
  </si>
  <si>
    <t>廃プラ
(ｱｽﾍﾞ)</t>
    <phoneticPr fontId="2"/>
  </si>
  <si>
    <t>運搬時間</t>
    <phoneticPr fontId="2"/>
  </si>
  <si>
    <t>廃プラ</t>
    <phoneticPr fontId="2"/>
  </si>
  <si>
    <t>がれき</t>
    <phoneticPr fontId="2"/>
  </si>
  <si>
    <t>ｽﾃﾝﾚｽ</t>
    <phoneticPr fontId="2"/>
  </si>
  <si>
    <t>作業時間</t>
    <phoneticPr fontId="2"/>
  </si>
  <si>
    <t>ｺﾝｸﾘｰﾄ</t>
    <phoneticPr fontId="2"/>
  </si>
  <si>
    <t>ｱｽﾌｧﾙﾄ</t>
    <phoneticPr fontId="2"/>
  </si>
  <si>
    <t>廃プラ
(ｱｽﾍﾞ)</t>
    <phoneticPr fontId="2"/>
  </si>
  <si>
    <t>アルミ</t>
    <phoneticPr fontId="2"/>
  </si>
  <si>
    <t>□率算出共通仮設費</t>
    <rPh sb="1" eb="2">
      <t>リツ</t>
    </rPh>
    <rPh sb="2" eb="4">
      <t>サンシュツ</t>
    </rPh>
    <rPh sb="4" eb="6">
      <t>キョウツウ</t>
    </rPh>
    <rPh sb="6" eb="8">
      <t>カセツ</t>
    </rPh>
    <rPh sb="8" eb="9">
      <t>ヒ</t>
    </rPh>
    <phoneticPr fontId="2"/>
  </si>
  <si>
    <t>小々計</t>
    <rPh sb="0" eb="1">
      <t>ショウ</t>
    </rPh>
    <rPh sb="2" eb="3">
      <t>ケイ</t>
    </rPh>
    <phoneticPr fontId="2"/>
  </si>
  <si>
    <t>□積上げ共通仮設費</t>
    <rPh sb="1" eb="3">
      <t>ツミア</t>
    </rPh>
    <rPh sb="4" eb="6">
      <t>キョウツウ</t>
    </rPh>
    <rPh sb="6" eb="8">
      <t>カセツ</t>
    </rPh>
    <rPh sb="8" eb="9">
      <t>ヒ</t>
    </rPh>
    <phoneticPr fontId="2"/>
  </si>
  <si>
    <t>工事用電力電灯費</t>
    <rPh sb="0" eb="3">
      <t>コウジヨウ</t>
    </rPh>
    <rPh sb="3" eb="5">
      <t>デンリョク</t>
    </rPh>
    <rPh sb="5" eb="7">
      <t>デントウ</t>
    </rPh>
    <rPh sb="7" eb="8">
      <t>ヒ</t>
    </rPh>
    <phoneticPr fontId="2"/>
  </si>
  <si>
    <t>工事用用水費</t>
    <rPh sb="0" eb="3">
      <t>コウジヨウ</t>
    </rPh>
    <rPh sb="3" eb="5">
      <t>ヨウスイ</t>
    </rPh>
    <rPh sb="5" eb="6">
      <t>ヒ</t>
    </rPh>
    <phoneticPr fontId="2"/>
  </si>
  <si>
    <t>機械器具費</t>
    <rPh sb="0" eb="2">
      <t>キカイ</t>
    </rPh>
    <rPh sb="2" eb="4">
      <t>キグ</t>
    </rPh>
    <rPh sb="4" eb="5">
      <t>ヒ</t>
    </rPh>
    <phoneticPr fontId="2"/>
  </si>
  <si>
    <t>周辺安全対策費</t>
    <rPh sb="0" eb="2">
      <t>シュウヘン</t>
    </rPh>
    <rPh sb="2" eb="4">
      <t>アンゼン</t>
    </rPh>
    <rPh sb="4" eb="7">
      <t>タイサクヒ</t>
    </rPh>
    <phoneticPr fontId="2"/>
  </si>
  <si>
    <t>仮囲い</t>
    <rPh sb="0" eb="1">
      <t>カリ</t>
    </rPh>
    <rPh sb="1" eb="2">
      <t>カコ</t>
    </rPh>
    <phoneticPr fontId="2"/>
  </si>
  <si>
    <t>試験調査費</t>
    <rPh sb="0" eb="2">
      <t>シケン</t>
    </rPh>
    <rPh sb="2" eb="5">
      <t>チョウサヒ</t>
    </rPh>
    <phoneticPr fontId="2"/>
  </si>
  <si>
    <t>共通仮設材運搬費</t>
    <rPh sb="0" eb="2">
      <t>キョウツウ</t>
    </rPh>
    <rPh sb="2" eb="4">
      <t>カセツ</t>
    </rPh>
    <rPh sb="4" eb="5">
      <t>ザイ</t>
    </rPh>
    <rPh sb="5" eb="7">
      <t>ウンパン</t>
    </rPh>
    <rPh sb="7" eb="8">
      <t>ヒ</t>
    </rPh>
    <phoneticPr fontId="2"/>
  </si>
  <si>
    <t>警備員費</t>
    <rPh sb="0" eb="3">
      <t>ケイビイン</t>
    </rPh>
    <rPh sb="3" eb="4">
      <t>ヒ</t>
    </rPh>
    <phoneticPr fontId="2"/>
  </si>
  <si>
    <t>巡視員</t>
    <rPh sb="0" eb="3">
      <t>ジュンシイン</t>
    </rPh>
    <phoneticPr fontId="2"/>
  </si>
  <si>
    <t>小々計</t>
    <rPh sb="0" eb="2">
      <t>ショウショウ</t>
    </rPh>
    <rPh sb="2" eb="3">
      <t>ケイ</t>
    </rPh>
    <phoneticPr fontId="2"/>
  </si>
  <si>
    <t>(</t>
    <phoneticPr fontId="2"/>
  </si>
  <si>
    <t>資産クラス別変更工事価格×（Ｒ）</t>
    <rPh sb="0" eb="2">
      <t>シサン</t>
    </rPh>
    <rPh sb="5" eb="6">
      <t>ベツ</t>
    </rPh>
    <rPh sb="6" eb="8">
      <t>ヘンコウ</t>
    </rPh>
    <rPh sb="8" eb="10">
      <t>コウジ</t>
    </rPh>
    <rPh sb="10" eb="12">
      <t>カカク</t>
    </rPh>
    <phoneticPr fontId="2"/>
  </si>
  <si>
    <t>建物　変更工事価格×（Ｒ）　計</t>
    <rPh sb="0" eb="2">
      <t>タテモノ</t>
    </rPh>
    <rPh sb="3" eb="5">
      <t>ヘンコウ</t>
    </rPh>
    <rPh sb="5" eb="7">
      <t>コウジ</t>
    </rPh>
    <rPh sb="7" eb="9">
      <t>カカク</t>
    </rPh>
    <rPh sb="14" eb="15">
      <t>ケイ</t>
    </rPh>
    <phoneticPr fontId="2"/>
  </si>
  <si>
    <t>構築物　変更工事価格×（Ｒ）　計</t>
    <rPh sb="0" eb="3">
      <t>コウチクブツ</t>
    </rPh>
    <rPh sb="4" eb="6">
      <t>ヘンコウ</t>
    </rPh>
    <rPh sb="6" eb="8">
      <t>コウジ</t>
    </rPh>
    <rPh sb="8" eb="10">
      <t>カカク</t>
    </rPh>
    <rPh sb="15" eb="16">
      <t>ケイ</t>
    </rPh>
    <phoneticPr fontId="2"/>
  </si>
  <si>
    <t>工具・器具・備品　変更工事価格（Ｒ）　計</t>
    <rPh sb="0" eb="2">
      <t>コウグ</t>
    </rPh>
    <rPh sb="3" eb="5">
      <t>キグ</t>
    </rPh>
    <rPh sb="6" eb="8">
      <t>ビヒン</t>
    </rPh>
    <rPh sb="9" eb="11">
      <t>ヘンコウ</t>
    </rPh>
    <rPh sb="11" eb="13">
      <t>コウジ</t>
    </rPh>
    <rPh sb="13" eb="15">
      <t>カカク</t>
    </rPh>
    <rPh sb="19" eb="20">
      <t>ケイ</t>
    </rPh>
    <phoneticPr fontId="2"/>
  </si>
  <si>
    <t>部分撤去工事のうち、資産計上した変更工事価格×（Ｒ）</t>
    <rPh sb="10" eb="12">
      <t>シサン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</si>
  <si>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部分撤去工事のうち、費用計上した変更工事価格×（Ｒ）</t>
    <rPh sb="10" eb="12">
      <t>ヒヨウ</t>
    </rPh>
    <rPh sb="12" eb="14">
      <t>ケイジョウ</t>
    </rPh>
    <rPh sb="16" eb="18">
      <t>ヘンコウ</t>
    </rPh>
    <rPh sb="18" eb="20">
      <t>コウジ</t>
    </rPh>
    <rPh sb="20" eb="22">
      <t>カカク</t>
    </rPh>
    <phoneticPr fontId="2"/>
  </si>
  <si>
    <t>資産計上区分の中で、費用として計上した変更工事価格（部分撤去工事を除く）×（Ｒ）</t>
    <rPh sb="10" eb="12">
      <t>ヒヨウ</t>
    </rPh>
    <rPh sb="15" eb="17">
      <t>ケイジョウ</t>
    </rPh>
    <rPh sb="19" eb="21">
      <t>ヘンコウ</t>
    </rPh>
    <rPh sb="21" eb="23">
      <t>コウジ</t>
    </rPh>
    <rPh sb="23" eb="25">
      <t>カカク</t>
    </rPh>
    <rPh sb="26" eb="28">
      <t>ブブン</t>
    </rPh>
    <rPh sb="28" eb="30">
      <t>テッキョ</t>
    </rPh>
    <rPh sb="30" eb="32">
      <t>コウジ</t>
    </rPh>
    <rPh sb="33" eb="34">
      <t>ノゾ</t>
    </rPh>
    <phoneticPr fontId="2"/>
  </si>
  <si>
    <t>費用計上した変更工事価格×（Ｒ）</t>
    <rPh sb="0" eb="2">
      <t>ヒヨウ</t>
    </rPh>
    <rPh sb="2" eb="4">
      <t>ケイジョウ</t>
    </rPh>
    <rPh sb="6" eb="8">
      <t>ヘンコウ</t>
    </rPh>
    <rPh sb="8" eb="10">
      <t>コウジ</t>
    </rPh>
    <rPh sb="10" eb="12">
      <t>カカク</t>
    </rPh>
    <phoneticPr fontId="2"/>
  </si>
  <si>
    <t>内訳書起案日</t>
    <rPh sb="0" eb="3">
      <t>ウチワケショ</t>
    </rPh>
    <rPh sb="3" eb="5">
      <t>キアン</t>
    </rPh>
    <rPh sb="5" eb="6">
      <t>ビ</t>
    </rPh>
    <phoneticPr fontId="2"/>
  </si>
  <si>
    <t>元設計当社単価</t>
    <rPh sb="0" eb="1">
      <t>モト</t>
    </rPh>
    <rPh sb="1" eb="3">
      <t>セッケイ</t>
    </rPh>
    <rPh sb="3" eb="5">
      <t>トウシャ</t>
    </rPh>
    <rPh sb="5" eb="7">
      <t>タンカ</t>
    </rPh>
    <phoneticPr fontId="2"/>
  </si>
  <si>
    <t>落札率</t>
    <rPh sb="0" eb="2">
      <t>ラクサツ</t>
    </rPh>
    <rPh sb="2" eb="3">
      <t>リツ</t>
    </rPh>
    <phoneticPr fontId="2"/>
  </si>
  <si>
    <t>資産クラス分割表</t>
    <rPh sb="0" eb="2">
      <t>シサン</t>
    </rPh>
    <rPh sb="5" eb="7">
      <t>ブンカツ</t>
    </rPh>
    <rPh sb="7" eb="8">
      <t>ヒョウ</t>
    </rPh>
    <phoneticPr fontId="2"/>
  </si>
  <si>
    <t>金属工事</t>
  </si>
  <si>
    <t>直接仮設工事</t>
  </si>
  <si>
    <t>直接仮設工事</t>
    <rPh sb="0" eb="2">
      <t>チョクセツ</t>
    </rPh>
    <rPh sb="2" eb="4">
      <t>カセツ</t>
    </rPh>
    <rPh sb="4" eb="6">
      <t>コウジ</t>
    </rPh>
    <phoneticPr fontId="2"/>
  </si>
  <si>
    <t>変更諸経費表</t>
    <phoneticPr fontId="2"/>
  </si>
  <si>
    <t>変更諸経費表2018【作成中】.xls</t>
    <phoneticPr fontId="2"/>
  </si>
  <si>
    <t>諸経費（×Ｒ）</t>
    <rPh sb="0" eb="3">
      <t>ショケイヒ</t>
    </rPh>
    <phoneticPr fontId="2"/>
  </si>
  <si>
    <t>変更諸経費表(専業)元</t>
    <phoneticPr fontId="2"/>
  </si>
  <si>
    <t>変更諸経費表(専業)改</t>
  </si>
  <si>
    <t>工事名称：</t>
  </si>
  <si>
    <t>P-1</t>
  </si>
  <si>
    <t>変更共通費集計表</t>
    <rPh sb="0" eb="2">
      <t>ヘンコウ</t>
    </rPh>
    <rPh sb="2" eb="4">
      <t>キョウツウ</t>
    </rPh>
    <rPh sb="4" eb="5">
      <t>ヒ</t>
    </rPh>
    <rPh sb="5" eb="8">
      <t>シュウケイヒョウ</t>
    </rPh>
    <phoneticPr fontId="2"/>
  </si>
  <si>
    <t>落札率：R＝＞</t>
    <rPh sb="0" eb="2">
      <t>ラクサツ</t>
    </rPh>
    <rPh sb="2" eb="3">
      <t>リツ</t>
    </rPh>
    <phoneticPr fontId="2"/>
  </si>
  <si>
    <t>合 計</t>
  </si>
  <si>
    <t>純工事費　合計</t>
    <rPh sb="0" eb="1">
      <t>ジュン</t>
    </rPh>
    <rPh sb="1" eb="4">
      <t>コウジヒ</t>
    </rPh>
    <rPh sb="5" eb="7">
      <t>ゴウケイ</t>
    </rPh>
    <phoneticPr fontId="2"/>
  </si>
  <si>
    <t>現場管理費、一般管理費等　合計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rPh sb="13" eb="15">
      <t>ゴウケイ</t>
    </rPh>
    <phoneticPr fontId="2"/>
  </si>
  <si>
    <t>（↓工期(Ｔ)の変更が有った場合は修正すること）</t>
    <rPh sb="2" eb="4">
      <t>コウキ</t>
    </rPh>
    <rPh sb="8" eb="10">
      <t>ヘンコウ</t>
    </rPh>
    <rPh sb="11" eb="12">
      <t>ア</t>
    </rPh>
    <rPh sb="14" eb="16">
      <t>バアイ</t>
    </rPh>
    <rPh sb="17" eb="19">
      <t>シュウセイ</t>
    </rPh>
    <phoneticPr fontId="2"/>
  </si>
  <si>
    <t>（△印は減額）</t>
  </si>
  <si>
    <t>工期（Ｔ）か月--&gt;</t>
    <rPh sb="0" eb="2">
      <t>コウキ</t>
    </rPh>
    <rPh sb="6" eb="7">
      <t>ゲツ</t>
    </rPh>
    <phoneticPr fontId="2"/>
  </si>
  <si>
    <t>既発注工事入力欄より---&gt;</t>
    <rPh sb="0" eb="1">
      <t>スデ</t>
    </rPh>
    <rPh sb="1" eb="3">
      <t>ハッチュウ</t>
    </rPh>
    <rPh sb="3" eb="5">
      <t>コウジ</t>
    </rPh>
    <rPh sb="5" eb="7">
      <t>ニュウリョク</t>
    </rPh>
    <rPh sb="7" eb="8">
      <t>ラン</t>
    </rPh>
    <phoneticPr fontId="2"/>
  </si>
  <si>
    <t>諸経費率--&gt;</t>
    <rPh sb="0" eb="3">
      <t>ショケイヒ</t>
    </rPh>
    <rPh sb="3" eb="4">
      <t>リツ</t>
    </rPh>
    <phoneticPr fontId="2"/>
  </si>
  <si>
    <t>共通仮設費　算出方法--&gt;</t>
    <phoneticPr fontId="2"/>
  </si>
  <si>
    <t>建物種別補正（"駅施設"又は"地上建物"を選択）--&gt;
※駅施設工事の場合は仮設建物費・動力用水光熱費分を補正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0">
      <t>エキ</t>
    </rPh>
    <rPh sb="30" eb="32">
      <t>シセツ</t>
    </rPh>
    <rPh sb="32" eb="34">
      <t>コウジ</t>
    </rPh>
    <rPh sb="35" eb="37">
      <t>バアイ</t>
    </rPh>
    <rPh sb="38" eb="40">
      <t>カセツ</t>
    </rPh>
    <rPh sb="40" eb="42">
      <t>タテモノ</t>
    </rPh>
    <rPh sb="42" eb="43">
      <t>ヒ</t>
    </rPh>
    <rPh sb="44" eb="46">
      <t>ドウリョク</t>
    </rPh>
    <rPh sb="46" eb="48">
      <t>ヨウスイ</t>
    </rPh>
    <rPh sb="48" eb="51">
      <t>コウネツヒ</t>
    </rPh>
    <rPh sb="51" eb="52">
      <t>ブン</t>
    </rPh>
    <rPh sb="53" eb="55">
      <t>ホセイ</t>
    </rPh>
    <phoneticPr fontId="2"/>
  </si>
  <si>
    <t>監督員事務所の有無--&gt;
駅施設の場合は"無し"地上建物で監督員事務所を設ける場合は"有り"</t>
    <rPh sb="0" eb="3">
      <t>カントクイン</t>
    </rPh>
    <rPh sb="3" eb="5">
      <t>ジム</t>
    </rPh>
    <rPh sb="5" eb="6">
      <t>ショ</t>
    </rPh>
    <rPh sb="7" eb="9">
      <t>ウム</t>
    </rPh>
    <rPh sb="13" eb="14">
      <t>エキ</t>
    </rPh>
    <rPh sb="14" eb="16">
      <t>シセツ</t>
    </rPh>
    <rPh sb="17" eb="19">
      <t>バアイ</t>
    </rPh>
    <rPh sb="21" eb="22">
      <t>ナ</t>
    </rPh>
    <rPh sb="24" eb="26">
      <t>チジョウ</t>
    </rPh>
    <rPh sb="26" eb="28">
      <t>タテモノ</t>
    </rPh>
    <rPh sb="29" eb="32">
      <t>カントクイン</t>
    </rPh>
    <rPh sb="32" eb="34">
      <t>ジム</t>
    </rPh>
    <rPh sb="34" eb="35">
      <t>ショ</t>
    </rPh>
    <rPh sb="36" eb="37">
      <t>モウ</t>
    </rPh>
    <rPh sb="39" eb="41">
      <t>バアイ</t>
    </rPh>
    <rPh sb="43" eb="44">
      <t>アリ</t>
    </rPh>
    <phoneticPr fontId="2"/>
  </si>
  <si>
    <t>　純　　工　　事　　費　　　　合　　計</t>
    <phoneticPr fontId="2"/>
  </si>
  <si>
    <t>(直接工事費 直接仮設・別途算定を含む)</t>
    <rPh sb="12" eb="14">
      <t>ベット</t>
    </rPh>
    <rPh sb="14" eb="16">
      <t>サンテイ</t>
    </rPh>
    <phoneticPr fontId="2"/>
  </si>
  <si>
    <t>(共通仮設費) 総計</t>
    <rPh sb="8" eb="10">
      <t>ソウケイ</t>
    </rPh>
    <phoneticPr fontId="2"/>
  </si>
  <si>
    <t>内、率算出による総額</t>
    <rPh sb="8" eb="9">
      <t>ソウ</t>
    </rPh>
    <phoneticPr fontId="2"/>
  </si>
  <si>
    <t>調整対象額</t>
    <rPh sb="0" eb="2">
      <t>チョウセイ</t>
    </rPh>
    <rPh sb="2" eb="4">
      <t>タイショウ</t>
    </rPh>
    <rPh sb="4" eb="5">
      <t>ガク</t>
    </rPh>
    <phoneticPr fontId="2"/>
  </si>
  <si>
    <t>変更対象直接工事費</t>
    <rPh sb="0" eb="2">
      <t>ヘンコウ</t>
    </rPh>
    <rPh sb="2" eb="4">
      <t>タイショウ</t>
    </rPh>
    <rPh sb="4" eb="6">
      <t>チョクセツ</t>
    </rPh>
    <rPh sb="6" eb="9">
      <t>コウジヒ</t>
    </rPh>
    <phoneticPr fontId="2"/>
  </si>
  <si>
    <t>率対象共通仮設費調整額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phoneticPr fontId="2"/>
  </si>
  <si>
    <t>率対象共通仮設費調整額　端数調整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チョウセイ</t>
    </rPh>
    <rPh sb="10" eb="11">
      <t>ガク</t>
    </rPh>
    <rPh sb="12" eb="14">
      <t>ハスウ</t>
    </rPh>
    <rPh sb="14" eb="16">
      <t>チョウセイ</t>
    </rPh>
    <phoneticPr fontId="2"/>
  </si>
  <si>
    <t>率対象共通仮設費改計</t>
    <rPh sb="0" eb="1">
      <t>リツ</t>
    </rPh>
    <rPh sb="1" eb="3">
      <t>タイショウ</t>
    </rPh>
    <rPh sb="3" eb="5">
      <t>キョウツウ</t>
    </rPh>
    <rPh sb="5" eb="7">
      <t>カセツ</t>
    </rPh>
    <rPh sb="7" eb="8">
      <t>ヒ</t>
    </rPh>
    <rPh sb="8" eb="10">
      <t>カイケイ</t>
    </rPh>
    <phoneticPr fontId="2"/>
  </si>
  <si>
    <t>内、積上げによる総額</t>
    <rPh sb="0" eb="1">
      <t>ウチ</t>
    </rPh>
    <rPh sb="2" eb="3">
      <t>ツ</t>
    </rPh>
    <rPh sb="3" eb="4">
      <t>ア</t>
    </rPh>
    <rPh sb="8" eb="9">
      <t>ソウ</t>
    </rPh>
    <rPh sb="9" eb="10">
      <t>ガク</t>
    </rPh>
    <phoneticPr fontId="2"/>
  </si>
  <si>
    <t>内、リース料、借地借家料</t>
    <rPh sb="0" eb="1">
      <t>ウチ</t>
    </rPh>
    <rPh sb="5" eb="6">
      <t>リョウ</t>
    </rPh>
    <rPh sb="7" eb="9">
      <t>シャクチ</t>
    </rPh>
    <rPh sb="9" eb="11">
      <t>シャクヤ</t>
    </rPh>
    <rPh sb="11" eb="12">
      <t>リョウ</t>
    </rPh>
    <phoneticPr fontId="2"/>
  </si>
  <si>
    <t>内、残材処分費</t>
    <rPh sb="2" eb="3">
      <t>ザン</t>
    </rPh>
    <rPh sb="3" eb="4">
      <t>ザイ</t>
    </rPh>
    <rPh sb="4" eb="6">
      <t>ショブン</t>
    </rPh>
    <rPh sb="6" eb="7">
      <t>ヒ</t>
    </rPh>
    <phoneticPr fontId="2"/>
  </si>
  <si>
    <t>一般・その他等  直接工事費</t>
    <rPh sb="9" eb="11">
      <t>チョクセツ</t>
    </rPh>
    <rPh sb="11" eb="13">
      <t>コウジ</t>
    </rPh>
    <rPh sb="13" eb="14">
      <t>ヒ</t>
    </rPh>
    <phoneticPr fontId="2"/>
  </si>
  <si>
    <t>標準</t>
    <phoneticPr fontId="2"/>
  </si>
  <si>
    <t>(1)新築一般建築工事</t>
  </si>
  <si>
    <t>(2)改修一般建築工事</t>
  </si>
  <si>
    <t>(3)新築主体工事の鉄骨工事(機械費含む)</t>
    <phoneticPr fontId="2"/>
  </si>
  <si>
    <t>(4)改修主体工事の鉄骨工事(機械費含む)</t>
    <rPh sb="15" eb="17">
      <t>キカイ</t>
    </rPh>
    <rPh sb="17" eb="18">
      <t>ヒ</t>
    </rPh>
    <rPh sb="18" eb="19">
      <t>フク</t>
    </rPh>
    <phoneticPr fontId="2"/>
  </si>
  <si>
    <t>そ　の　他　工　事</t>
    <rPh sb="4" eb="5">
      <t>タ</t>
    </rPh>
    <rPh sb="6" eb="9">
      <t>コウジ</t>
    </rPh>
    <phoneticPr fontId="2"/>
  </si>
  <si>
    <t>(5)造園工事、舗装工事(排水除く)</t>
    <phoneticPr fontId="2"/>
  </si>
  <si>
    <t>(6)とりこわし工事(部分撤去、処分費除く)</t>
    <rPh sb="11" eb="13">
      <t>ブブン</t>
    </rPh>
    <rPh sb="13" eb="15">
      <t>テッキョ</t>
    </rPh>
    <phoneticPr fontId="2"/>
  </si>
  <si>
    <t>(7)特殊な室内装備品工事</t>
  </si>
  <si>
    <t>　家具・流し・実験台</t>
    <phoneticPr fontId="2"/>
  </si>
  <si>
    <t>　黒板・書架・ｶｳﾝﾀｰ・ﾛｰﾊﾟｰﾃｨｯｼｮﾝ等</t>
  </si>
  <si>
    <t>(8)プレハブ工事</t>
  </si>
  <si>
    <t>(9)</t>
    <phoneticPr fontId="2"/>
  </si>
  <si>
    <t>(10)</t>
    <phoneticPr fontId="2"/>
  </si>
  <si>
    <t>(11)近隣家屋調査及び地質調査</t>
  </si>
  <si>
    <t>除　外</t>
    <rPh sb="0" eb="1">
      <t>ジョ</t>
    </rPh>
    <rPh sb="2" eb="3">
      <t>ガイ</t>
    </rPh>
    <phoneticPr fontId="2"/>
  </si>
  <si>
    <t>(12)残材処分費及び残土処分費(直工費のみ)</t>
    <rPh sb="17" eb="18">
      <t>チョク</t>
    </rPh>
    <rPh sb="18" eb="19">
      <t>コウ</t>
    </rPh>
    <rPh sb="19" eb="20">
      <t>ヒ</t>
    </rPh>
    <phoneticPr fontId="2"/>
  </si>
  <si>
    <t>(12)残材処分費及び残土処分費(共通仮設)</t>
    <rPh sb="17" eb="19">
      <t>キョウツウ</t>
    </rPh>
    <rPh sb="19" eb="21">
      <t>カセツ</t>
    </rPh>
    <phoneticPr fontId="2"/>
  </si>
  <si>
    <t>(14)リース料,借地借家料(共通仮設）</t>
    <rPh sb="15" eb="17">
      <t>キョウツウ</t>
    </rPh>
    <rPh sb="17" eb="19">
      <t>カセツ</t>
    </rPh>
    <phoneticPr fontId="2"/>
  </si>
  <si>
    <t>(14)リース料,借地借家料(直工費のみ）</t>
    <rPh sb="15" eb="16">
      <t>チョク</t>
    </rPh>
    <rPh sb="16" eb="17">
      <t>コウ</t>
    </rPh>
    <rPh sb="17" eb="18">
      <t>ヒ</t>
    </rPh>
    <phoneticPr fontId="2"/>
  </si>
  <si>
    <t>(15)別途算定（直工費）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</si>
  <si>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(16）別途算定（共通仮設）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</si>
  <si>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(17)下水道使用料、各種負担金（共通仮設）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</si>
  <si>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現場管理費</t>
  </si>
  <si>
    <t>(3)新築主体工事の鉄骨工事</t>
  </si>
  <si>
    <t>(4)改修主体工事の鉄骨工事</t>
  </si>
  <si>
    <t>その他工事</t>
    <rPh sb="2" eb="3">
      <t>タ</t>
    </rPh>
    <rPh sb="3" eb="5">
      <t>コウジ</t>
    </rPh>
    <phoneticPr fontId="2"/>
  </si>
  <si>
    <t>(5)造園工事、舗装工事（排水除く）</t>
    <rPh sb="3" eb="5">
      <t>ゾウエン</t>
    </rPh>
    <rPh sb="5" eb="7">
      <t>コウジ</t>
    </rPh>
    <rPh sb="8" eb="10">
      <t>ホソウ</t>
    </rPh>
    <rPh sb="10" eb="12">
      <t>コウジ</t>
    </rPh>
    <rPh sb="13" eb="15">
      <t>ハイスイ</t>
    </rPh>
    <rPh sb="15" eb="16">
      <t>ノゾ</t>
    </rPh>
    <phoneticPr fontId="2"/>
  </si>
  <si>
    <t>(9)予備</t>
    <rPh sb="3" eb="5">
      <t>ヨビ</t>
    </rPh>
    <phoneticPr fontId="2"/>
  </si>
  <si>
    <t>(10)予備</t>
    <rPh sb="4" eb="6">
      <t>ヨビ</t>
    </rPh>
    <phoneticPr fontId="2"/>
  </si>
  <si>
    <t>除外</t>
    <phoneticPr fontId="2"/>
  </si>
  <si>
    <t>(12)～(17)</t>
    <phoneticPr fontId="2"/>
  </si>
  <si>
    <t>別途</t>
    <rPh sb="0" eb="2">
      <t>ベット</t>
    </rPh>
    <phoneticPr fontId="2"/>
  </si>
  <si>
    <t>（18）別途算定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</si>
  <si>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算定</t>
    <rPh sb="0" eb="2">
      <t>サンテイ</t>
    </rPh>
    <phoneticPr fontId="2"/>
  </si>
  <si>
    <t>※別途工事により算定</t>
    <rPh sb="1" eb="3">
      <t>ベット</t>
    </rPh>
    <phoneticPr fontId="2"/>
  </si>
  <si>
    <t>現場管理費計</t>
    <phoneticPr fontId="2"/>
  </si>
  <si>
    <t>調整対象額計</t>
    <rPh sb="0" eb="2">
      <t>チョウセイ</t>
    </rPh>
    <rPh sb="2" eb="4">
      <t>タイショウ</t>
    </rPh>
    <rPh sb="4" eb="5">
      <t>ガク</t>
    </rPh>
    <rPh sb="5" eb="6">
      <t>ケイ</t>
    </rPh>
    <phoneticPr fontId="2"/>
  </si>
  <si>
    <t>変更対象純工事費</t>
    <rPh sb="0" eb="2">
      <t>ヘンコウ</t>
    </rPh>
    <rPh sb="2" eb="4">
      <t>タイショウ</t>
    </rPh>
    <rPh sb="4" eb="5">
      <t>ジュン</t>
    </rPh>
    <rPh sb="5" eb="8">
      <t>コウジヒ</t>
    </rPh>
    <phoneticPr fontId="2"/>
  </si>
  <si>
    <t>現場管理費調整額</t>
    <rPh sb="0" eb="2">
      <t>ゲンバ</t>
    </rPh>
    <rPh sb="2" eb="5">
      <t>カンリヒ</t>
    </rPh>
    <rPh sb="5" eb="7">
      <t>チョウセイ</t>
    </rPh>
    <rPh sb="7" eb="8">
      <t>ガク</t>
    </rPh>
    <phoneticPr fontId="2"/>
  </si>
  <si>
    <t>現場管理費調整額端数調整</t>
    <rPh sb="0" eb="2">
      <t>ゲンバ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</si>
  <si>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現場管理費　改計</t>
    <rPh sb="6" eb="7">
      <t>カイ</t>
    </rPh>
    <phoneticPr fontId="2"/>
  </si>
  <si>
    <t>一般管理費等</t>
    <rPh sb="0" eb="2">
      <t>イッパン</t>
    </rPh>
    <rPh sb="2" eb="5">
      <t>カンリヒ</t>
    </rPh>
    <rPh sb="5" eb="6">
      <t>トウ</t>
    </rPh>
    <phoneticPr fontId="2"/>
  </si>
  <si>
    <t>対象工事原価→</t>
    <rPh sb="0" eb="2">
      <t>タイショウ</t>
    </rPh>
    <rPh sb="2" eb="4">
      <t>コウジ</t>
    </rPh>
    <rPh sb="4" eb="6">
      <t>ゲンカ</t>
    </rPh>
    <phoneticPr fontId="2"/>
  </si>
  <si>
    <t>別途算定　一般管理費等（土木工事）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rPh sb="12" eb="14">
      <t>ドボク</t>
    </rPh>
    <rPh sb="14" eb="16">
      <t>コウジ</t>
    </rPh>
    <phoneticPr fontId="2"/>
  </si>
  <si>
    <t>一般管理費等　計</t>
    <rPh sb="0" eb="2">
      <t>イッパン</t>
    </rPh>
    <rPh sb="2" eb="5">
      <t>カンリヒ</t>
    </rPh>
    <rPh sb="5" eb="6">
      <t>トウ</t>
    </rPh>
    <rPh sb="7" eb="8">
      <t>ケイ</t>
    </rPh>
    <phoneticPr fontId="2"/>
  </si>
  <si>
    <t>変更対象工事原価</t>
    <rPh sb="0" eb="2">
      <t>ヘンコウ</t>
    </rPh>
    <rPh sb="2" eb="4">
      <t>タイショウ</t>
    </rPh>
    <rPh sb="4" eb="6">
      <t>コウジ</t>
    </rPh>
    <rPh sb="6" eb="8">
      <t>ゲンカ</t>
    </rPh>
    <phoneticPr fontId="2"/>
  </si>
  <si>
    <t>一般管理費調整額</t>
    <rPh sb="0" eb="2">
      <t>イッパン</t>
    </rPh>
    <rPh sb="2" eb="5">
      <t>カンリヒ</t>
    </rPh>
    <rPh sb="5" eb="7">
      <t>チョウセイ</t>
    </rPh>
    <rPh sb="7" eb="8">
      <t>ガク</t>
    </rPh>
    <phoneticPr fontId="2"/>
  </si>
  <si>
    <t>一般管理費調整額端数調整</t>
    <rPh sb="0" eb="2">
      <t>イッパン</t>
    </rPh>
    <rPh sb="2" eb="5">
      <t>カンリヒ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</si>
  <si>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一般管理費等　改計</t>
    <rPh sb="0" eb="2">
      <t>イッパン</t>
    </rPh>
    <rPh sb="2" eb="5">
      <t>カンリヒ</t>
    </rPh>
    <rPh sb="5" eb="6">
      <t>トウ</t>
    </rPh>
    <rPh sb="7" eb="8">
      <t>カイ</t>
    </rPh>
    <rPh sb="8" eb="9">
      <t>ケイ</t>
    </rPh>
    <phoneticPr fontId="2"/>
  </si>
  <si>
    <t>工事価格（①）</t>
    <rPh sb="0" eb="2">
      <t>コウジ</t>
    </rPh>
    <rPh sb="2" eb="4">
      <t>カカク</t>
    </rPh>
    <phoneticPr fontId="2"/>
  </si>
  <si>
    <t>千円未満切り捨て→</t>
    <rPh sb="0" eb="2">
      <t>センエン</t>
    </rPh>
    <rPh sb="2" eb="4">
      <t>ミマン</t>
    </rPh>
    <rPh sb="4" eb="5">
      <t>キ</t>
    </rPh>
    <rPh sb="6" eb="7">
      <t>ス</t>
    </rPh>
    <phoneticPr fontId="2"/>
  </si>
  <si>
    <t>内訳</t>
    <rPh sb="0" eb="2">
      <t>ウチワケ</t>
    </rPh>
    <phoneticPr fontId="2"/>
  </si>
  <si>
    <t>純工事費</t>
    <rPh sb="0" eb="1">
      <t>ジュン</t>
    </rPh>
    <rPh sb="1" eb="4">
      <t>コウジヒ</t>
    </rPh>
    <phoneticPr fontId="2"/>
  </si>
  <si>
    <t>現場管理費、一般管理費等</t>
    <rPh sb="0" eb="2">
      <t>ゲンバ</t>
    </rPh>
    <rPh sb="2" eb="5">
      <t>カンリヒ</t>
    </rPh>
    <rPh sb="6" eb="8">
      <t>イッパン</t>
    </rPh>
    <rPh sb="8" eb="11">
      <t>カンリヒ</t>
    </rPh>
    <rPh sb="11" eb="12">
      <t>ナド</t>
    </rPh>
    <phoneticPr fontId="2"/>
  </si>
  <si>
    <t>変更工事価格（①×R）</t>
    <rPh sb="0" eb="2">
      <t>ヘンコウ</t>
    </rPh>
    <rPh sb="2" eb="4">
      <t>コウジ</t>
    </rPh>
    <rPh sb="4" eb="6">
      <t>カカク</t>
    </rPh>
    <phoneticPr fontId="2"/>
  </si>
  <si>
    <t>P-2</t>
    <phoneticPr fontId="2"/>
  </si>
  <si>
    <t>随意契約＝＞</t>
    <rPh sb="0" eb="2">
      <t>ズイイ</t>
    </rPh>
    <rPh sb="2" eb="4">
      <t>ケイヤク</t>
    </rPh>
    <phoneticPr fontId="2"/>
  </si>
  <si>
    <t>無し</t>
    <rPh sb="0" eb="1">
      <t>ナ</t>
    </rPh>
    <phoneticPr fontId="2"/>
  </si>
  <si>
    <t>小数点以下1桁---&gt;</t>
    <rPh sb="0" eb="3">
      <t>ショウスウテン</t>
    </rPh>
    <rPh sb="3" eb="5">
      <t>イカ</t>
    </rPh>
    <rPh sb="6" eb="7">
      <t>ケタ</t>
    </rPh>
    <phoneticPr fontId="2"/>
  </si>
  <si>
    <t>改修・新営を選択---&gt;</t>
    <rPh sb="0" eb="2">
      <t>カイシュウ</t>
    </rPh>
    <rPh sb="3" eb="4">
      <t>シン</t>
    </rPh>
    <rPh sb="6" eb="8">
      <t>センタク</t>
    </rPh>
    <phoneticPr fontId="2"/>
  </si>
  <si>
    <t>前　払 い 有り・無し--&gt;</t>
    <phoneticPr fontId="2"/>
  </si>
  <si>
    <t>有り</t>
  </si>
  <si>
    <t>契約保証費 有り・無し--&gt;</t>
  </si>
  <si>
    <t>&lt;工期は2ヶ月以内&gt;</t>
    <rPh sb="1" eb="3">
      <t>コウキ</t>
    </rPh>
    <rPh sb="6" eb="7">
      <t>ゲツ</t>
    </rPh>
    <rPh sb="7" eb="9">
      <t>イナイ</t>
    </rPh>
    <phoneticPr fontId="2"/>
  </si>
  <si>
    <t>積上げ・率処理併用</t>
  </si>
  <si>
    <t>駅施設</t>
  </si>
  <si>
    <t>無し</t>
  </si>
  <si>
    <t>　純　　工　　事　　費　　　　合　　計</t>
    <phoneticPr fontId="2"/>
  </si>
  <si>
    <t>現場管理費より控除する専門・除外の工事費---&gt;</t>
    <phoneticPr fontId="2"/>
  </si>
  <si>
    <t>一般管理費等より控除する専門・除外の工事費---&gt;</t>
  </si>
  <si>
    <t>別途算定の現場管理費にかかる工事費--&gt;</t>
    <rPh sb="0" eb="2">
      <t>ベット</t>
    </rPh>
    <rPh sb="2" eb="4">
      <t>サンテイ</t>
    </rPh>
    <phoneticPr fontId="2"/>
  </si>
  <si>
    <t>内、別途算定による共仮費</t>
    <rPh sb="0" eb="1">
      <t>ウチ</t>
    </rPh>
    <rPh sb="2" eb="4">
      <t>ベット</t>
    </rPh>
    <rPh sb="4" eb="6">
      <t>サンテイ</t>
    </rPh>
    <rPh sb="9" eb="10">
      <t>トモ</t>
    </rPh>
    <rPh sb="10" eb="11">
      <t>カリ</t>
    </rPh>
    <rPh sb="11" eb="12">
      <t>ヒ</t>
    </rPh>
    <phoneticPr fontId="2"/>
  </si>
  <si>
    <t>　現場管理費・一般管理費等　　合　　計</t>
    <rPh sb="1" eb="3">
      <t>ゲンバ</t>
    </rPh>
    <rPh sb="3" eb="5">
      <t>カンリ</t>
    </rPh>
    <rPh sb="5" eb="6">
      <t>ヒ</t>
    </rPh>
    <rPh sb="7" eb="9">
      <t>イッパン</t>
    </rPh>
    <rPh sb="9" eb="11">
      <t>カンリ</t>
    </rPh>
    <rPh sb="11" eb="12">
      <t>ヒ</t>
    </rPh>
    <rPh sb="12" eb="13">
      <t>トウ</t>
    </rPh>
    <phoneticPr fontId="2"/>
  </si>
  <si>
    <t>(現 場 管 理 費)</t>
  </si>
  <si>
    <t>　　内、建築工事によるもの</t>
    <rPh sb="2" eb="3">
      <t>ウチ</t>
    </rPh>
    <rPh sb="4" eb="6">
      <t>ケンチク</t>
    </rPh>
    <rPh sb="6" eb="8">
      <t>コウジ</t>
    </rPh>
    <phoneticPr fontId="2"/>
  </si>
  <si>
    <t>[内率算出による標準額]</t>
  </si>
  <si>
    <t>[内固定率・除外（設備含む）の額]</t>
    <rPh sb="9" eb="11">
      <t>セツビ</t>
    </rPh>
    <rPh sb="11" eb="12">
      <t>フク</t>
    </rPh>
    <phoneticPr fontId="2"/>
  </si>
  <si>
    <t>内、別途算定によるもの</t>
    <rPh sb="0" eb="1">
      <t>ウチ</t>
    </rPh>
    <rPh sb="2" eb="4">
      <t>ベット</t>
    </rPh>
    <rPh sb="4" eb="6">
      <t>サンテイ</t>
    </rPh>
    <phoneticPr fontId="2"/>
  </si>
  <si>
    <t>(一 般 管 理 費 等)</t>
  </si>
  <si>
    <t>[内保証費等による補正額]</t>
  </si>
  <si>
    <t>[内固定率・除外の額]</t>
  </si>
  <si>
    <t>内、別途算定によるもの（補正額含む）</t>
    <rPh sb="0" eb="1">
      <t>ウチ</t>
    </rPh>
    <rPh sb="2" eb="4">
      <t>ベット</t>
    </rPh>
    <rPh sb="4" eb="6">
      <t>サンテイ</t>
    </rPh>
    <rPh sb="12" eb="14">
      <t>ホセイ</t>
    </rPh>
    <rPh sb="14" eb="15">
      <t>ガク</t>
    </rPh>
    <rPh sb="15" eb="16">
      <t>フク</t>
    </rPh>
    <phoneticPr fontId="2"/>
  </si>
  <si>
    <t>　工 　事 　価 　格</t>
    <phoneticPr fontId="2"/>
  </si>
  <si>
    <t>共 通 費 算 定 用 入 力 欄</t>
    <rPh sb="0" eb="1">
      <t>トモ</t>
    </rPh>
    <rPh sb="2" eb="3">
      <t>ツウ</t>
    </rPh>
    <phoneticPr fontId="2"/>
  </si>
  <si>
    <t>（緑色部分に入力）</t>
  </si>
  <si>
    <t>(3)新築主体工事の鉄骨工事(機械費含む)</t>
    <phoneticPr fontId="2"/>
  </si>
  <si>
    <t>(5)造園工事、舗装工事(排水除く)</t>
    <phoneticPr fontId="2"/>
  </si>
  <si>
    <t>　家具・流し・実験台</t>
    <phoneticPr fontId="2"/>
  </si>
  <si>
    <t>(9)</t>
    <phoneticPr fontId="2"/>
  </si>
  <si>
    <t>(10)</t>
    <phoneticPr fontId="2"/>
  </si>
  <si>
    <t>共 通 費 算 定 表 (0)</t>
    <rPh sb="0" eb="1">
      <t>トモ</t>
    </rPh>
    <rPh sb="2" eb="3">
      <t>ツウ</t>
    </rPh>
    <phoneticPr fontId="2"/>
  </si>
  <si>
    <t>P-2-2</t>
    <phoneticPr fontId="2"/>
  </si>
  <si>
    <t>※(0）及び(1)並びに(2) ---&gt; 新築・改修工事が一括発注の場合は、合計額に対する各々の率</t>
    <rPh sb="4" eb="5">
      <t>オヨ</t>
    </rPh>
    <rPh sb="9" eb="10">
      <t>ナラ</t>
    </rPh>
    <phoneticPr fontId="2"/>
  </si>
  <si>
    <t>補正率</t>
  </si>
  <si>
    <t>当該率</t>
    <phoneticPr fontId="2"/>
  </si>
  <si>
    <t>共通仮設費対象直接工事費</t>
    <rPh sb="0" eb="2">
      <t>キョウツウ</t>
    </rPh>
    <rPh sb="2" eb="4">
      <t>カセツ</t>
    </rPh>
    <rPh sb="4" eb="5">
      <t>ヒ</t>
    </rPh>
    <rPh sb="7" eb="9">
      <t>チョクセツ</t>
    </rPh>
    <phoneticPr fontId="2"/>
  </si>
  <si>
    <t>対象直接工事費（（12）(15)～（17）除く）</t>
    <rPh sb="2" eb="4">
      <t>チョクセツ</t>
    </rPh>
    <rPh sb="21" eb="22">
      <t>ノゾ</t>
    </rPh>
    <phoneticPr fontId="2"/>
  </si>
  <si>
    <t>-</t>
    <phoneticPr fontId="2"/>
  </si>
  <si>
    <t>(3)新築主体工事の鉄骨工事(機械費含む)</t>
  </si>
  <si>
    <t>(4)改修主体工事の鉄骨工事(機械費含む)</t>
  </si>
  <si>
    <t>(5)造園工事、舗装工事(排水除く)</t>
  </si>
  <si>
    <t>(6)とりこわし工事</t>
    <phoneticPr fontId="2"/>
  </si>
  <si>
    <t>除外</t>
  </si>
  <si>
    <t>（12）～(17) （但し(14)は率算出対象）</t>
    <rPh sb="11" eb="12">
      <t>タダ</t>
    </rPh>
    <rPh sb="18" eb="19">
      <t>リツ</t>
    </rPh>
    <rPh sb="19" eb="21">
      <t>サンシュツ</t>
    </rPh>
    <rPh sb="21" eb="23">
      <t>タイショウ</t>
    </rPh>
    <phoneticPr fontId="2"/>
  </si>
  <si>
    <t>共通仮設費 [内率算出による標準額]</t>
    <rPh sb="0" eb="2">
      <t>キョウツウ</t>
    </rPh>
    <rPh sb="2" eb="4">
      <t>カセツ</t>
    </rPh>
    <rPh sb="4" eb="5">
      <t>ヒ</t>
    </rPh>
    <rPh sb="7" eb="8">
      <t>ウチ</t>
    </rPh>
    <rPh sb="8" eb="9">
      <t>リツ</t>
    </rPh>
    <rPh sb="9" eb="11">
      <t>サンシュツ</t>
    </rPh>
    <rPh sb="14" eb="16">
      <t>ヒョウジュン</t>
    </rPh>
    <rPh sb="16" eb="17">
      <t>ガク</t>
    </rPh>
    <phoneticPr fontId="2"/>
  </si>
  <si>
    <t>当該率---&gt;</t>
    <phoneticPr fontId="2"/>
  </si>
  <si>
    <t>(6)とりこわし工事</t>
  </si>
  <si>
    <t>　家具・流し・実験台</t>
  </si>
  <si>
    <t>(9)</t>
  </si>
  <si>
    <t>(10)</t>
  </si>
  <si>
    <t>（12）～(17)</t>
  </si>
  <si>
    <t>共通仮設費 [内率算出による標準額]</t>
    <rPh sb="0" eb="2">
      <t>キョウツウ</t>
    </rPh>
    <rPh sb="2" eb="4">
      <t>カセツ</t>
    </rPh>
    <rPh sb="4" eb="5">
      <t>ヒ</t>
    </rPh>
    <phoneticPr fontId="2"/>
  </si>
  <si>
    <t>共 通 費 算 定 表 （既発注）(1)</t>
    <rPh sb="0" eb="1">
      <t>トモ</t>
    </rPh>
    <rPh sb="2" eb="3">
      <t>ツウ</t>
    </rPh>
    <rPh sb="13" eb="14">
      <t>キ</t>
    </rPh>
    <rPh sb="14" eb="16">
      <t>ハッチュウ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</si>
  <si>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</si>
  <si>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</si>
  <si>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現場管理費対象純工事費</t>
  </si>
  <si>
    <t>対象純工事費（（12）(15）(16））除く</t>
    <rPh sb="20" eb="21">
      <t>ノゾ</t>
    </rPh>
    <phoneticPr fontId="2"/>
  </si>
  <si>
    <t>(12)～（17）</t>
    <phoneticPr fontId="2"/>
  </si>
  <si>
    <t>現場管理費</t>
    <phoneticPr fontId="2"/>
  </si>
  <si>
    <t>(11)近隣家屋調査及び地質調査</t>
    <phoneticPr fontId="2"/>
  </si>
  <si>
    <t>別途算定</t>
    <rPh sb="0" eb="2">
      <t>ベット</t>
    </rPh>
    <rPh sb="2" eb="4">
      <t>サンテイ</t>
    </rPh>
    <phoneticPr fontId="2"/>
  </si>
  <si>
    <t>　※各別途工事により算定</t>
    <rPh sb="2" eb="3">
      <t>カク</t>
    </rPh>
    <rPh sb="3" eb="5">
      <t>ベット</t>
    </rPh>
    <rPh sb="5" eb="7">
      <t>コウジ</t>
    </rPh>
    <rPh sb="10" eb="12">
      <t>サンテイ</t>
    </rPh>
    <phoneticPr fontId="2"/>
  </si>
  <si>
    <t>現場管理費 合 計</t>
  </si>
  <si>
    <t>工事原価</t>
  </si>
  <si>
    <t>共 通 費 算 定 表（既発注） (2)</t>
    <rPh sb="0" eb="1">
      <t>トモ</t>
    </rPh>
    <rPh sb="2" eb="3">
      <t>ツウ</t>
    </rPh>
    <rPh sb="12" eb="13">
      <t>キ</t>
    </rPh>
    <rPh sb="13" eb="15">
      <t>ハッチュウ</t>
    </rPh>
    <phoneticPr fontId="2"/>
  </si>
  <si>
    <t>P-4</t>
    <phoneticPr fontId="2"/>
  </si>
  <si>
    <t>当該率</t>
  </si>
  <si>
    <t>建築工事原価</t>
  </si>
  <si>
    <t>土木工事原価（一括発注時）</t>
    <rPh sb="0" eb="2">
      <t>ドボク</t>
    </rPh>
    <rPh sb="2" eb="4">
      <t>コウジ</t>
    </rPh>
    <rPh sb="4" eb="6">
      <t>ゲンカ</t>
    </rPh>
    <rPh sb="7" eb="9">
      <t>イッカツ</t>
    </rPh>
    <rPh sb="9" eb="11">
      <t>ハッチュウ</t>
    </rPh>
    <rPh sb="11" eb="12">
      <t>ジ</t>
    </rPh>
    <phoneticPr fontId="2"/>
  </si>
  <si>
    <t>対象工事原価（下水道使用料・各種負担金を除く）</t>
    <rPh sb="14" eb="16">
      <t>カクシュ</t>
    </rPh>
    <rPh sb="16" eb="19">
      <t>フタンキン</t>
    </rPh>
    <phoneticPr fontId="2"/>
  </si>
  <si>
    <t>&lt;--前　払　い 有り・無し</t>
  </si>
  <si>
    <t>一般管理費等対象工事原価</t>
  </si>
  <si>
    <t>&lt;--契約保証費 有り・無し</t>
  </si>
  <si>
    <t>(1)建築工事～(14)借地借家料</t>
    <phoneticPr fontId="2"/>
  </si>
  <si>
    <t>補正</t>
    <rPh sb="1" eb="2">
      <t>セイ</t>
    </rPh>
    <phoneticPr fontId="2"/>
  </si>
  <si>
    <t>前　払　い無し時の補正</t>
  </si>
  <si>
    <t>契約保証費有り時の補正</t>
  </si>
  <si>
    <t>除外</t>
    <rPh sb="1" eb="2">
      <t>ガイ</t>
    </rPh>
    <phoneticPr fontId="2"/>
  </si>
  <si>
    <t>一般管理費等</t>
  </si>
  <si>
    <t>別途算定　一般管理費等</t>
    <rPh sb="0" eb="2">
      <t>ベット</t>
    </rPh>
    <rPh sb="2" eb="4">
      <t>サンテイ</t>
    </rPh>
    <rPh sb="5" eb="7">
      <t>イッパン</t>
    </rPh>
    <rPh sb="7" eb="10">
      <t>カンリヒ</t>
    </rPh>
    <rPh sb="10" eb="11">
      <t>トウ</t>
    </rPh>
    <phoneticPr fontId="2"/>
  </si>
  <si>
    <t>　※土木工事により算定(補正額含む）</t>
    <rPh sb="2" eb="4">
      <t>ドボク</t>
    </rPh>
    <rPh sb="4" eb="6">
      <t>コウジ</t>
    </rPh>
    <rPh sb="9" eb="11">
      <t>サンテイ</t>
    </rPh>
    <rPh sb="12" eb="14">
      <t>ホセイ</t>
    </rPh>
    <rPh sb="14" eb="15">
      <t>ガク</t>
    </rPh>
    <rPh sb="15" eb="16">
      <t>フク</t>
    </rPh>
    <phoneticPr fontId="2"/>
  </si>
  <si>
    <t>.</t>
    <phoneticPr fontId="2"/>
  </si>
  <si>
    <t>一般管理費等 合 計</t>
  </si>
  <si>
    <t>工事価格</t>
  </si>
  <si>
    <t>調整 一般管理費等</t>
  </si>
  <si>
    <t>ﾏｲﾅｽ表示はERR-&gt;</t>
  </si>
  <si>
    <t>工事価格    改  計</t>
  </si>
  <si>
    <t>共通仮設費率  算定欄</t>
    <rPh sb="0" eb="2">
      <t>キョウツウ</t>
    </rPh>
    <rPh sb="2" eb="4">
      <t>カセツ</t>
    </rPh>
    <rPh sb="4" eb="5">
      <t>ヒ</t>
    </rPh>
    <rPh sb="5" eb="6">
      <t>リツ</t>
    </rPh>
    <rPh sb="8" eb="10">
      <t>サンテイ</t>
    </rPh>
    <rPh sb="10" eb="11">
      <t>ラン</t>
    </rPh>
    <phoneticPr fontId="2"/>
  </si>
  <si>
    <t>Ｔ（か月）</t>
    <rPh sb="3" eb="4">
      <t>ツキ</t>
    </rPh>
    <phoneticPr fontId="2"/>
  </si>
  <si>
    <t>新営建築工事</t>
    <rPh sb="0" eb="2">
      <t>シンエイ</t>
    </rPh>
    <rPh sb="2" eb="4">
      <t>ケンチク</t>
    </rPh>
    <rPh sb="4" eb="6">
      <t>コウジ</t>
    </rPh>
    <phoneticPr fontId="2"/>
  </si>
  <si>
    <t>共通仮設費率 算定式により算定される率</t>
    <rPh sb="0" eb="2">
      <t>キョウツウ</t>
    </rPh>
    <rPh sb="2" eb="4">
      <t>カセツ</t>
    </rPh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</si>
  <si>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Ｋｒ</t>
    <phoneticPr fontId="2"/>
  </si>
  <si>
    <t>直接工事費が１千万円以下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2">
      <t>イカ</t>
    </rPh>
    <phoneticPr fontId="2"/>
  </si>
  <si>
    <t>上限</t>
    <rPh sb="0" eb="2">
      <t>ジョウゲン</t>
    </rPh>
    <phoneticPr fontId="2"/>
  </si>
  <si>
    <t>下限</t>
    <rPh sb="0" eb="1">
      <t>シタ</t>
    </rPh>
    <rPh sb="1" eb="2">
      <t>カギ</t>
    </rPh>
    <phoneticPr fontId="2"/>
  </si>
  <si>
    <t>直接工事費が１千万円超える</t>
    <rPh sb="0" eb="2">
      <t>チョクセツ</t>
    </rPh>
    <rPh sb="2" eb="4">
      <t>コウジ</t>
    </rPh>
    <rPh sb="4" eb="5">
      <t>ヒ</t>
    </rPh>
    <rPh sb="7" eb="8">
      <t>セン</t>
    </rPh>
    <rPh sb="9" eb="10">
      <t>エン</t>
    </rPh>
    <rPh sb="10" eb="11">
      <t>コ</t>
    </rPh>
    <phoneticPr fontId="2"/>
  </si>
  <si>
    <t>今回工事の共通仮設費率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phoneticPr fontId="2"/>
  </si>
  <si>
    <t>今回工事の共通仮設費率補正　（監督員事務所無し時の補正)</t>
    <rPh sb="0" eb="2">
      <t>コンカイ</t>
    </rPh>
    <rPh sb="2" eb="4">
      <t>コウジ</t>
    </rPh>
    <rPh sb="5" eb="7">
      <t>キョウツウ</t>
    </rPh>
    <rPh sb="7" eb="9">
      <t>カセツ</t>
    </rPh>
    <rPh sb="9" eb="10">
      <t>ヒ</t>
    </rPh>
    <rPh sb="10" eb="11">
      <t>リツ</t>
    </rPh>
    <rPh sb="11" eb="13">
      <t>ホセイ</t>
    </rPh>
    <rPh sb="15" eb="17">
      <t>カントク</t>
    </rPh>
    <rPh sb="17" eb="18">
      <t>イン</t>
    </rPh>
    <rPh sb="18" eb="20">
      <t>ジム</t>
    </rPh>
    <rPh sb="20" eb="21">
      <t>ショ</t>
    </rPh>
    <rPh sb="21" eb="22">
      <t>ナシ</t>
    </rPh>
    <rPh sb="23" eb="24">
      <t>ジ</t>
    </rPh>
    <rPh sb="25" eb="27">
      <t>ホセイ</t>
    </rPh>
    <phoneticPr fontId="2"/>
  </si>
  <si>
    <t>改修建築工事</t>
    <rPh sb="0" eb="2">
      <t>カイシュウ</t>
    </rPh>
    <rPh sb="2" eb="4">
      <t>ケンチク</t>
    </rPh>
    <rPh sb="4" eb="6">
      <t>コウジ</t>
    </rPh>
    <phoneticPr fontId="2"/>
  </si>
  <si>
    <t>Ｋｒ</t>
  </si>
  <si>
    <t>直接工事費が5百万円以下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2">
      <t>イカ</t>
    </rPh>
    <phoneticPr fontId="2"/>
  </si>
  <si>
    <t>直接工事費が5百万円超える</t>
    <rPh sb="0" eb="2">
      <t>チョクセツ</t>
    </rPh>
    <rPh sb="2" eb="4">
      <t>コウジ</t>
    </rPh>
    <rPh sb="4" eb="5">
      <t>ヒ</t>
    </rPh>
    <rPh sb="7" eb="8">
      <t>ヒャク</t>
    </rPh>
    <rPh sb="9" eb="10">
      <t>エン</t>
    </rPh>
    <rPh sb="10" eb="11">
      <t>コ</t>
    </rPh>
    <phoneticPr fontId="2"/>
  </si>
  <si>
    <t>現場管理費率  算定欄</t>
    <rPh sb="5" eb="6">
      <t>リツ</t>
    </rPh>
    <rPh sb="8" eb="10">
      <t>サンテイ</t>
    </rPh>
    <rPh sb="10" eb="11">
      <t>ラン</t>
    </rPh>
    <phoneticPr fontId="2"/>
  </si>
  <si>
    <t>現場管理費率 算定式により算定される率</t>
    <rPh sb="5" eb="6">
      <t>リツ</t>
    </rPh>
    <rPh sb="7" eb="9">
      <t>サンテイ</t>
    </rPh>
    <rPh sb="9" eb="10">
      <t>シキ</t>
    </rPh>
    <rPh sb="13" eb="15">
      <t>サンテイ</t>
    </rPh>
    <rPh sb="18" eb="19">
      <t>リツ</t>
    </rPh>
    <phoneticPr fontId="2"/>
  </si>
  <si>
    <t>Jo</t>
    <phoneticPr fontId="2"/>
  </si>
  <si>
    <t>純工事費が１千万円以下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1">
      <t>イカ</t>
    </rPh>
    <phoneticPr fontId="2"/>
  </si>
  <si>
    <t>純工事費が１千万円超える</t>
    <rPh sb="0" eb="1">
      <t>ジュン</t>
    </rPh>
    <rPh sb="1" eb="3">
      <t>コウジ</t>
    </rPh>
    <rPh sb="3" eb="4">
      <t>ヒ</t>
    </rPh>
    <rPh sb="6" eb="7">
      <t>セン</t>
    </rPh>
    <rPh sb="8" eb="9">
      <t>エン</t>
    </rPh>
    <rPh sb="9" eb="10">
      <t>コ</t>
    </rPh>
    <phoneticPr fontId="2"/>
  </si>
  <si>
    <t>今回工事の現場管理費率</t>
    <rPh sb="0" eb="2">
      <t>コンカイ</t>
    </rPh>
    <rPh sb="2" eb="4">
      <t>コウジ</t>
    </rPh>
    <rPh sb="5" eb="7">
      <t>ゲンバ</t>
    </rPh>
    <rPh sb="7" eb="10">
      <t>カンリヒ</t>
    </rPh>
    <rPh sb="10" eb="11">
      <t>リツ</t>
    </rPh>
    <phoneticPr fontId="2"/>
  </si>
  <si>
    <t>純工事費が5百万円以下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1">
      <t>イカ</t>
    </rPh>
    <phoneticPr fontId="2"/>
  </si>
  <si>
    <t>純工事費が5百万円超える</t>
    <rPh sb="0" eb="1">
      <t>ジュン</t>
    </rPh>
    <rPh sb="1" eb="3">
      <t>コウジ</t>
    </rPh>
    <rPh sb="3" eb="4">
      <t>ヒ</t>
    </rPh>
    <rPh sb="6" eb="7">
      <t>ヒャク</t>
    </rPh>
    <rPh sb="8" eb="9">
      <t>エン</t>
    </rPh>
    <rPh sb="9" eb="10">
      <t>コ</t>
    </rPh>
    <phoneticPr fontId="2"/>
  </si>
  <si>
    <t>一般管理費等率  算定欄</t>
    <rPh sb="0" eb="2">
      <t>イッパン</t>
    </rPh>
    <rPh sb="5" eb="6">
      <t>トウ</t>
    </rPh>
    <rPh sb="6" eb="7">
      <t>リツ</t>
    </rPh>
    <rPh sb="9" eb="11">
      <t>サンテイ</t>
    </rPh>
    <rPh sb="11" eb="12">
      <t>ラン</t>
    </rPh>
    <phoneticPr fontId="2"/>
  </si>
  <si>
    <t>一般管理費等率 算定式により算定される率</t>
    <rPh sb="0" eb="2">
      <t>イッパン</t>
    </rPh>
    <rPh sb="5" eb="6">
      <t>トウ</t>
    </rPh>
    <rPh sb="6" eb="7">
      <t>リツ</t>
    </rPh>
    <rPh sb="8" eb="10">
      <t>サンテイ</t>
    </rPh>
    <rPh sb="10" eb="11">
      <t>シキ</t>
    </rPh>
    <rPh sb="14" eb="16">
      <t>サンテイ</t>
    </rPh>
    <rPh sb="19" eb="20">
      <t>リツ</t>
    </rPh>
    <phoneticPr fontId="2"/>
  </si>
  <si>
    <t>Gp</t>
    <phoneticPr fontId="2"/>
  </si>
  <si>
    <t>工事原価が5百万円以下</t>
    <rPh sb="0" eb="2">
      <t>コウジ</t>
    </rPh>
    <rPh sb="2" eb="4">
      <t>ゲンカ</t>
    </rPh>
    <rPh sb="6" eb="7">
      <t>ヒャク</t>
    </rPh>
    <rPh sb="8" eb="9">
      <t>エン</t>
    </rPh>
    <rPh sb="9" eb="11">
      <t>イカ</t>
    </rPh>
    <phoneticPr fontId="2"/>
  </si>
  <si>
    <t>工事原価が30億円を超える</t>
    <rPh sb="0" eb="2">
      <t>コウジ</t>
    </rPh>
    <rPh sb="2" eb="4">
      <t>ゲンカ</t>
    </rPh>
    <rPh sb="7" eb="9">
      <t>オクエン</t>
    </rPh>
    <rPh sb="10" eb="11">
      <t>コ</t>
    </rPh>
    <phoneticPr fontId="2"/>
  </si>
  <si>
    <t>今回工事の一般管理費等率</t>
    <rPh sb="0" eb="2">
      <t>コンカイ</t>
    </rPh>
    <rPh sb="2" eb="4">
      <t>コウジ</t>
    </rPh>
    <rPh sb="5" eb="7">
      <t>イッパン</t>
    </rPh>
    <rPh sb="7" eb="10">
      <t>カンリヒ</t>
    </rPh>
    <rPh sb="10" eb="11">
      <t>トウ</t>
    </rPh>
    <rPh sb="11" eb="12">
      <t>リツ</t>
    </rPh>
    <phoneticPr fontId="2"/>
  </si>
  <si>
    <t>P-5</t>
    <phoneticPr fontId="2"/>
  </si>
  <si>
    <t>次回　変更計上金額</t>
    <rPh sb="0" eb="2">
      <t>ジカイ</t>
    </rPh>
    <rPh sb="3" eb="5">
      <t>ヘンコウ</t>
    </rPh>
    <rPh sb="5" eb="7">
      <t>ケイジョウ</t>
    </rPh>
    <rPh sb="7" eb="9">
      <t>キンガク</t>
    </rPh>
    <phoneticPr fontId="2"/>
  </si>
  <si>
    <t>無し</t>
    <rPh sb="0" eb="1">
      <t>ナシ</t>
    </rPh>
    <phoneticPr fontId="2"/>
  </si>
  <si>
    <t>内、リース料</t>
    <rPh sb="0" eb="1">
      <t>ウチ</t>
    </rPh>
    <rPh sb="5" eb="6">
      <t>リョウ</t>
    </rPh>
    <phoneticPr fontId="2"/>
  </si>
  <si>
    <t>(14)リース料,借地借家料(直工のみ）</t>
    <rPh sb="15" eb="16">
      <t>チョク</t>
    </rPh>
    <rPh sb="16" eb="17">
      <t>コウ</t>
    </rPh>
    <phoneticPr fontId="2"/>
  </si>
  <si>
    <t>P-5-2</t>
    <phoneticPr fontId="2"/>
  </si>
  <si>
    <t>対象直接工事費（（12）～（17）除く）</t>
    <rPh sb="2" eb="4">
      <t>チョクセツ</t>
    </rPh>
    <rPh sb="17" eb="18">
      <t>ノゾ</t>
    </rPh>
    <phoneticPr fontId="2"/>
  </si>
  <si>
    <t>（12）～(17)(但し(14)は率算出対象）</t>
    <rPh sb="10" eb="11">
      <t>タダ</t>
    </rPh>
    <rPh sb="17" eb="18">
      <t>リツ</t>
    </rPh>
    <rPh sb="18" eb="20">
      <t>サンシュツ</t>
    </rPh>
    <rPh sb="20" eb="22">
      <t>タイショウ</t>
    </rPh>
    <phoneticPr fontId="2"/>
  </si>
  <si>
    <t>共 通 費 算 定 表 合 計(1)</t>
    <rPh sb="0" eb="1">
      <t>トモ</t>
    </rPh>
    <rPh sb="2" eb="3">
      <t>ツウ</t>
    </rPh>
    <rPh sb="12" eb="13">
      <t>ゴウ</t>
    </rPh>
    <rPh sb="14" eb="15">
      <t>ケイ</t>
    </rPh>
    <phoneticPr fontId="2"/>
  </si>
  <si>
    <t>P-6</t>
    <phoneticPr fontId="2"/>
  </si>
  <si>
    <t>共 通 費 算 定 表 (2)</t>
    <rPh sb="0" eb="1">
      <t>トモ</t>
    </rPh>
    <rPh sb="2" eb="3">
      <t>ツウ</t>
    </rPh>
    <phoneticPr fontId="2"/>
  </si>
  <si>
    <t>P-7</t>
    <phoneticPr fontId="2"/>
  </si>
  <si>
    <t>P-1</t>
    <phoneticPr fontId="2"/>
  </si>
  <si>
    <t>●●工事</t>
    <rPh sb="2" eb="4">
      <t>コウジ</t>
    </rPh>
    <phoneticPr fontId="2"/>
  </si>
  <si>
    <t>（着色部分に入力）</t>
    <rPh sb="1" eb="3">
      <t>チャクショク</t>
    </rPh>
    <phoneticPr fontId="2"/>
  </si>
  <si>
    <t>直接工事費（下請経費共）　合   計</t>
    <rPh sb="0" eb="1">
      <t>チョク</t>
    </rPh>
    <rPh sb="1" eb="2">
      <t>セツ</t>
    </rPh>
    <phoneticPr fontId="2"/>
  </si>
  <si>
    <t>共通仮設費（下請経費共）　合　 計</t>
    <rPh sb="0" eb="2">
      <t>キョウツウ</t>
    </rPh>
    <rPh sb="2" eb="4">
      <t>カセツ</t>
    </rPh>
    <rPh sb="4" eb="5">
      <t>ヒ</t>
    </rPh>
    <rPh sb="6" eb="8">
      <t>シタウ</t>
    </rPh>
    <rPh sb="8" eb="10">
      <t>ケイヒ</t>
    </rPh>
    <rPh sb="10" eb="11">
      <t>トモ</t>
    </rPh>
    <rPh sb="13" eb="14">
      <t>ア</t>
    </rPh>
    <rPh sb="16" eb="17">
      <t>ケイ</t>
    </rPh>
    <phoneticPr fontId="2"/>
  </si>
  <si>
    <t>うち　警備員費　　</t>
    <rPh sb="3" eb="6">
      <t>ケイビイン</t>
    </rPh>
    <rPh sb="6" eb="7">
      <t>ヒ</t>
    </rPh>
    <phoneticPr fontId="2"/>
  </si>
  <si>
    <t>直接工事費（下請経費除く）　合   計</t>
    <rPh sb="0" eb="1">
      <t>チョク</t>
    </rPh>
    <rPh sb="1" eb="2">
      <t>セツ</t>
    </rPh>
    <rPh sb="10" eb="11">
      <t>ノゾ</t>
    </rPh>
    <phoneticPr fontId="2"/>
  </si>
  <si>
    <t>共通仮設費（下請経費共）　合   計</t>
    <rPh sb="0" eb="2">
      <t>キョウツウ</t>
    </rPh>
    <rPh sb="2" eb="4">
      <t>カセツ</t>
    </rPh>
    <phoneticPr fontId="2"/>
  </si>
  <si>
    <t>共通仮設費（下請経費除く）　合   計</t>
    <rPh sb="0" eb="2">
      <t>キョウツウ</t>
    </rPh>
    <rPh sb="2" eb="4">
      <t>カセツ</t>
    </rPh>
    <rPh sb="4" eb="5">
      <t>ヒ</t>
    </rPh>
    <rPh sb="10" eb="11">
      <t>ノゾ</t>
    </rPh>
    <phoneticPr fontId="2"/>
  </si>
  <si>
    <r>
      <t xml:space="preserve">専業・一般・その他等 </t>
    </r>
    <r>
      <rPr>
        <b/>
        <sz val="10"/>
        <rFont val="ＭＳ Ｐ明朝"/>
        <family val="1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</si>
  <si>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</si>
  <si>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専業工事</t>
    <rPh sb="0" eb="2">
      <t>センギョウ</t>
    </rPh>
    <rPh sb="2" eb="4">
      <t>コウジ</t>
    </rPh>
    <phoneticPr fontId="2"/>
  </si>
  <si>
    <t>純工事費計（下請経費共）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トモ</t>
    </rPh>
    <phoneticPr fontId="2"/>
  </si>
  <si>
    <t>純工事費計（下請経費除く）</t>
    <rPh sb="0" eb="1">
      <t>ジュン</t>
    </rPh>
    <rPh sb="1" eb="4">
      <t>コウジヒ</t>
    </rPh>
    <rPh sb="4" eb="5">
      <t>ケイ</t>
    </rPh>
    <rPh sb="6" eb="8">
      <t>シタウ</t>
    </rPh>
    <rPh sb="8" eb="10">
      <t>ケイヒ</t>
    </rPh>
    <rPh sb="10" eb="11">
      <t>ノゾ</t>
    </rPh>
    <phoneticPr fontId="2"/>
  </si>
  <si>
    <t>請現場管理費</t>
    <rPh sb="0" eb="1">
      <t>ショウ</t>
    </rPh>
    <rPh sb="1" eb="3">
      <t>ゲンバ</t>
    </rPh>
    <phoneticPr fontId="2"/>
  </si>
  <si>
    <t>標準</t>
    <rPh sb="0" eb="1">
      <t>ヒョウジュン</t>
    </rPh>
    <phoneticPr fontId="2"/>
  </si>
  <si>
    <t>(1)(2)</t>
    <phoneticPr fontId="2"/>
  </si>
  <si>
    <t>専業</t>
    <rPh sb="0" eb="1">
      <t>センギョウ</t>
    </rPh>
    <phoneticPr fontId="2"/>
  </si>
  <si>
    <t>(3)～(8)</t>
    <phoneticPr fontId="2"/>
  </si>
  <si>
    <t>(9)～(11)</t>
    <phoneticPr fontId="2"/>
  </si>
  <si>
    <t>除外</t>
    <phoneticPr fontId="2"/>
  </si>
  <si>
    <t>（12）～（18）除外</t>
    <rPh sb="9" eb="11">
      <t>ジョガイ</t>
    </rPh>
    <phoneticPr fontId="2"/>
  </si>
  <si>
    <t>（19）別途算定　現場管理費</t>
    <rPh sb="4" eb="6">
      <t>ベット</t>
    </rPh>
    <rPh sb="6" eb="8">
      <t>サンテイ</t>
    </rPh>
    <rPh sb="9" eb="11">
      <t>ゲンバ</t>
    </rPh>
    <rPh sb="11" eb="14">
      <t>カンリヒ</t>
    </rPh>
    <phoneticPr fontId="2"/>
  </si>
  <si>
    <t>現場管理費計</t>
    <phoneticPr fontId="2"/>
  </si>
  <si>
    <t>現場管理費改計</t>
    <rPh sb="5" eb="6">
      <t>カイ</t>
    </rPh>
    <phoneticPr fontId="2"/>
  </si>
  <si>
    <t>対象工事原価→</t>
  </si>
  <si>
    <t>純工事費（下請経費除く）</t>
    <rPh sb="0" eb="1">
      <t>ジュン</t>
    </rPh>
    <rPh sb="1" eb="4">
      <t>コウジヒ</t>
    </rPh>
    <rPh sb="5" eb="7">
      <t>シタウケ</t>
    </rPh>
    <rPh sb="7" eb="9">
      <t>ケイヒ</t>
    </rPh>
    <rPh sb="9" eb="10">
      <t>ノゾ</t>
    </rPh>
    <phoneticPr fontId="2"/>
  </si>
  <si>
    <t>P-2</t>
    <phoneticPr fontId="2"/>
  </si>
  <si>
    <t>共通費集計表</t>
  </si>
  <si>
    <t>発注形態　元請・下請け--&gt;</t>
  </si>
  <si>
    <t>元請</t>
    <rPh sb="0" eb="2">
      <t>モトウケ</t>
    </rPh>
    <phoneticPr fontId="2"/>
  </si>
  <si>
    <t>前　払 い 有り・無し--&gt;</t>
  </si>
  <si>
    <t>共通仮設費（下請経費共）　合   計</t>
    <rPh sb="0" eb="2">
      <t>キョウツウ</t>
    </rPh>
    <rPh sb="2" eb="4">
      <t>カセツ</t>
    </rPh>
    <rPh sb="4" eb="5">
      <t>ヒ</t>
    </rPh>
    <phoneticPr fontId="2"/>
  </si>
  <si>
    <t>　純　工　事　費　　　　　　合　　計</t>
    <phoneticPr fontId="2"/>
  </si>
  <si>
    <r>
      <t>(直接工事費 直接仮設</t>
    </r>
    <r>
      <rPr>
        <sz val="10"/>
        <rFont val="ＭＳ Ｐ明朝"/>
        <family val="1"/>
        <charset val="128"/>
      </rPr>
      <t>を含む)</t>
    </r>
    <rPh sb="12" eb="13">
      <t>フク</t>
    </rPh>
    <phoneticPr fontId="2"/>
  </si>
  <si>
    <t>現場管理費より控除する専門・除外の工事費---&gt;</t>
  </si>
  <si>
    <t>(共通仮設費)</t>
  </si>
  <si>
    <t>　現場管理費・一般管理費等　　合　　計</t>
  </si>
  <si>
    <t>　工 　事 　価 　格</t>
    <phoneticPr fontId="2"/>
  </si>
  <si>
    <t>一般・その他等  純工事費</t>
    <phoneticPr fontId="2"/>
  </si>
  <si>
    <t>(3)共通仮設工事（下請経費共）(警備員等除く)</t>
    <rPh sb="17" eb="20">
      <t>ケイビイン</t>
    </rPh>
    <rPh sb="20" eb="21">
      <t>トウ</t>
    </rPh>
    <rPh sb="21" eb="22">
      <t>ノゾ</t>
    </rPh>
    <phoneticPr fontId="2"/>
  </si>
  <si>
    <t>(4)直接仮設工事（下請経費共）</t>
  </si>
  <si>
    <t>(5)塗装工事（下請経費共）</t>
    <rPh sb="3" eb="5">
      <t>トソウ</t>
    </rPh>
    <rPh sb="5" eb="7">
      <t>コウジ</t>
    </rPh>
    <phoneticPr fontId="2"/>
  </si>
  <si>
    <t>(6)場内小運搬費（下請経費共）</t>
  </si>
  <si>
    <t>(7)〃人力積込み費（下請経費共）</t>
  </si>
  <si>
    <t>(8)</t>
    <phoneticPr fontId="2"/>
  </si>
  <si>
    <t>(9)近隣家屋調査及び地質調査</t>
    <phoneticPr fontId="2"/>
  </si>
  <si>
    <t>(10)とりこわし工事</t>
    <rPh sb="9" eb="11">
      <t>コウジ</t>
    </rPh>
    <phoneticPr fontId="2"/>
  </si>
  <si>
    <t>(11)</t>
    <phoneticPr fontId="2"/>
  </si>
  <si>
    <t>(12)残材処分費及び残土処分費</t>
    <phoneticPr fontId="2"/>
  </si>
  <si>
    <t>(14)リース料（共通仮設）</t>
    <rPh sb="9" eb="11">
      <t>キョウツウ</t>
    </rPh>
    <rPh sb="11" eb="13">
      <t>カセツ</t>
    </rPh>
    <phoneticPr fontId="2"/>
  </si>
  <si>
    <t>(15)借地借家料（共通仮設）</t>
    <rPh sb="10" eb="12">
      <t>キョウツウ</t>
    </rPh>
    <rPh sb="12" eb="14">
      <t>カセツ</t>
    </rPh>
    <phoneticPr fontId="2"/>
  </si>
  <si>
    <t>(16)別途算定（直工費）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</si>
  <si>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(17)別途算定（共通仮設）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</si>
  <si>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(18)下水道使用料、各種負担金（共通仮設）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</si>
  <si>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</si>
  <si>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※(1)及び(2) ---&gt; 新築・改修工事が一括発注の場合は、合計額に対する各々の率</t>
    <phoneticPr fontId="2"/>
  </si>
  <si>
    <t>対象純工事費（下水道,専業を除く）</t>
    <rPh sb="11" eb="13">
      <t>センギョウ</t>
    </rPh>
    <phoneticPr fontId="2"/>
  </si>
  <si>
    <t>標準</t>
    <phoneticPr fontId="2"/>
  </si>
  <si>
    <t>-</t>
  </si>
  <si>
    <t>(3)共通仮設工事</t>
    <phoneticPr fontId="2"/>
  </si>
  <si>
    <t>(4)直接仮設工事</t>
    <phoneticPr fontId="2"/>
  </si>
  <si>
    <t>(6)場内小運搬費</t>
    <phoneticPr fontId="2"/>
  </si>
  <si>
    <t>(7)〃人力積込み費</t>
    <phoneticPr fontId="2"/>
  </si>
  <si>
    <t>(8)〃搬出準備費</t>
    <phoneticPr fontId="2"/>
  </si>
  <si>
    <t>(9)近隣家屋調査及び地質調査</t>
    <phoneticPr fontId="2"/>
  </si>
  <si>
    <t>(10)　---</t>
    <phoneticPr fontId="2"/>
  </si>
  <si>
    <t>(11)　---</t>
    <phoneticPr fontId="2"/>
  </si>
  <si>
    <t>(12)～(18)</t>
    <phoneticPr fontId="2"/>
  </si>
  <si>
    <t>※専業工事の現場管理費は、便宜上、下請経費の1/2とする。</t>
  </si>
  <si>
    <t>-</t>
    <phoneticPr fontId="2"/>
  </si>
  <si>
    <t>当該率---&gt;</t>
    <phoneticPr fontId="2"/>
  </si>
  <si>
    <t>-</t>
    <phoneticPr fontId="2"/>
  </si>
  <si>
    <t>(9)近隣家屋調査及び地質調査</t>
    <phoneticPr fontId="2"/>
  </si>
  <si>
    <t>(11)　---</t>
    <phoneticPr fontId="2"/>
  </si>
  <si>
    <t>(16)(17)包含設備工事　現場管理費</t>
    <rPh sb="8" eb="10">
      <t>ホウガン</t>
    </rPh>
    <rPh sb="10" eb="12">
      <t>セツビ</t>
    </rPh>
    <rPh sb="12" eb="14">
      <t>コウジ</t>
    </rPh>
    <rPh sb="15" eb="17">
      <t>ゲンバ</t>
    </rPh>
    <rPh sb="17" eb="20">
      <t>カンリヒ</t>
    </rPh>
    <phoneticPr fontId="2"/>
  </si>
  <si>
    <t>　※各設備工事により算定</t>
    <rPh sb="2" eb="3">
      <t>カク</t>
    </rPh>
    <rPh sb="3" eb="5">
      <t>セツビ</t>
    </rPh>
    <rPh sb="5" eb="7">
      <t>コウジ</t>
    </rPh>
    <rPh sb="10" eb="12">
      <t>サンテイ</t>
    </rPh>
    <phoneticPr fontId="2"/>
  </si>
  <si>
    <t>(12)(13)(14)(15)(18)</t>
    <phoneticPr fontId="2"/>
  </si>
  <si>
    <t>P-4</t>
    <phoneticPr fontId="2"/>
  </si>
  <si>
    <t>工事原価</t>
    <phoneticPr fontId="2"/>
  </si>
  <si>
    <t>一般管理費等対象工事原価（下水道,専業を除く）</t>
    <phoneticPr fontId="2"/>
  </si>
  <si>
    <t>(1)建築工事～(15)借地借家料</t>
  </si>
  <si>
    <t>専業</t>
    <rPh sb="0" eb="2">
      <t>センギョウ</t>
    </rPh>
    <phoneticPr fontId="2"/>
  </si>
  <si>
    <t>(3)～(8)専業工事</t>
    <phoneticPr fontId="2"/>
  </si>
  <si>
    <t>(18)下水道使用料、各種負担金</t>
    <rPh sb="11" eb="13">
      <t>カクシュ</t>
    </rPh>
    <rPh sb="13" eb="16">
      <t>フタンキン</t>
    </rPh>
    <phoneticPr fontId="2"/>
  </si>
  <si>
    <t>一般建築工事＋その他等</t>
    <phoneticPr fontId="2"/>
  </si>
  <si>
    <t>※専業工事の一般管理費等は、便宜上、下請経費の1/2とする。</t>
  </si>
  <si>
    <t>Jo</t>
    <phoneticPr fontId="2"/>
  </si>
  <si>
    <t>Gp</t>
    <phoneticPr fontId="2"/>
  </si>
  <si>
    <t>営繕工事</t>
  </si>
  <si>
    <t>P-5</t>
    <phoneticPr fontId="2"/>
  </si>
  <si>
    <t>◇◇◇改造工事の部</t>
    <phoneticPr fontId="2"/>
  </si>
  <si>
    <t>◇◇◇改造工事の部</t>
  </si>
  <si>
    <t>　純　工　事　費　　　　　　合　　計</t>
    <phoneticPr fontId="2"/>
  </si>
  <si>
    <t>諸 経 費 算 定 用 入 力 欄</t>
  </si>
  <si>
    <t>(5)塗装工事（下請経費共）</t>
  </si>
  <si>
    <t>(10)</t>
    <phoneticPr fontId="2"/>
  </si>
  <si>
    <t>(12)残材処分費及び残土処分費</t>
  </si>
  <si>
    <t>(14)リース料</t>
  </si>
  <si>
    <t>(15)借地借家料</t>
  </si>
  <si>
    <t>P-6</t>
    <phoneticPr fontId="2"/>
  </si>
  <si>
    <t>(3)共通仮設工事</t>
    <phoneticPr fontId="2"/>
  </si>
  <si>
    <t>(4)直接仮設工事</t>
    <phoneticPr fontId="2"/>
  </si>
  <si>
    <t>(5)建具工事</t>
    <rPh sb="3" eb="5">
      <t>タテグ</t>
    </rPh>
    <rPh sb="5" eb="7">
      <t>コウジ</t>
    </rPh>
    <phoneticPr fontId="2"/>
  </si>
  <si>
    <t>P-7</t>
    <phoneticPr fontId="2"/>
  </si>
  <si>
    <t>工事のシート名を入力(例：工事１)---&gt;</t>
    <rPh sb="0" eb="2">
      <t>コウジ</t>
    </rPh>
    <rPh sb="6" eb="7">
      <t>メイ</t>
    </rPh>
    <rPh sb="8" eb="10">
      <t>ニュウリョク</t>
    </rPh>
    <rPh sb="11" eb="12">
      <t>レイ</t>
    </rPh>
    <rPh sb="13" eb="15">
      <t>コウジ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</si>
  <si>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4">
      <t>ヨミコミ</t>
    </rPh>
    <phoneticPr fontId="2"/>
  </si>
  <si>
    <t>(規定値は既発注入力欄を読込み)---&gt;</t>
    <rPh sb="1" eb="4">
      <t>キテイチ</t>
    </rPh>
    <rPh sb="5" eb="6">
      <t>キ</t>
    </rPh>
    <rPh sb="6" eb="8">
      <t>ハッチュウ</t>
    </rPh>
    <rPh sb="8" eb="10">
      <t>ニュウリョク</t>
    </rPh>
    <rPh sb="10" eb="11">
      <t>ラン</t>
    </rPh>
    <rPh sb="12" eb="13">
      <t>ヨ</t>
    </rPh>
    <rPh sb="13" eb="14">
      <t>コ</t>
    </rPh>
    <phoneticPr fontId="2"/>
  </si>
  <si>
    <t>共通仮設費　算出方法--&gt;</t>
    <rPh sb="0" eb="2">
      <t>キョウツウ</t>
    </rPh>
    <rPh sb="2" eb="4">
      <t>カセツ</t>
    </rPh>
    <rPh sb="4" eb="5">
      <t>ヒ</t>
    </rPh>
    <rPh sb="6" eb="8">
      <t>サンシュツ</t>
    </rPh>
    <rPh sb="8" eb="10">
      <t>ホウホウ</t>
    </rPh>
    <phoneticPr fontId="2"/>
  </si>
  <si>
    <t>建物種別補正（"駅施設"又は"地上建物"を選択）--&gt;
(規定値は既発注入力欄を読込み）</t>
    <rPh sb="0" eb="2">
      <t>タテモノ</t>
    </rPh>
    <rPh sb="2" eb="4">
      <t>シュベツ</t>
    </rPh>
    <rPh sb="3" eb="4">
      <t>コウシュ</t>
    </rPh>
    <rPh sb="4" eb="6">
      <t>ホセイ</t>
    </rPh>
    <rPh sb="8" eb="9">
      <t>エキ</t>
    </rPh>
    <rPh sb="9" eb="11">
      <t>シセツ</t>
    </rPh>
    <rPh sb="12" eb="13">
      <t>マタ</t>
    </rPh>
    <rPh sb="15" eb="17">
      <t>チジョウ</t>
    </rPh>
    <rPh sb="17" eb="19">
      <t>タテモノ</t>
    </rPh>
    <rPh sb="21" eb="23">
      <t>センタク</t>
    </rPh>
    <rPh sb="29" eb="32">
      <t>キテイチ</t>
    </rPh>
    <rPh sb="33" eb="34">
      <t>キ</t>
    </rPh>
    <rPh sb="34" eb="36">
      <t>ハッチュウ</t>
    </rPh>
    <rPh sb="36" eb="38">
      <t>ニュウリョク</t>
    </rPh>
    <rPh sb="38" eb="39">
      <t>ラン</t>
    </rPh>
    <rPh sb="40" eb="42">
      <t>ヨミコミ</t>
    </rPh>
    <phoneticPr fontId="2"/>
  </si>
  <si>
    <t>監督員事務所の有無--&gt;
(規定値は既発注入力欄を読込み）</t>
    <rPh sb="0" eb="3">
      <t>カントクイン</t>
    </rPh>
    <rPh sb="3" eb="5">
      <t>ジム</t>
    </rPh>
    <rPh sb="5" eb="6">
      <t>ショ</t>
    </rPh>
    <rPh sb="7" eb="9">
      <t>ウム</t>
    </rPh>
    <rPh sb="14" eb="17">
      <t>キテイチ</t>
    </rPh>
    <rPh sb="18" eb="19">
      <t>キ</t>
    </rPh>
    <rPh sb="19" eb="21">
      <t>ハッチュウ</t>
    </rPh>
    <rPh sb="21" eb="23">
      <t>ニュウリョク</t>
    </rPh>
    <rPh sb="23" eb="24">
      <t>ラン</t>
    </rPh>
    <rPh sb="25" eb="27">
      <t>ヨミコミ</t>
    </rPh>
    <phoneticPr fontId="2"/>
  </si>
  <si>
    <t>内、警備員費</t>
    <rPh sb="2" eb="5">
      <t>ケイビイン</t>
    </rPh>
    <rPh sb="5" eb="6">
      <t>ヒ</t>
    </rPh>
    <phoneticPr fontId="2"/>
  </si>
  <si>
    <r>
      <t xml:space="preserve">専業・一般・その他等 </t>
    </r>
    <r>
      <rPr>
        <b/>
        <sz val="10"/>
        <rFont val="Meiryo UI"/>
        <family val="3"/>
        <charset val="128"/>
      </rPr>
      <t xml:space="preserve"> 純工事費</t>
    </r>
    <rPh sb="0" eb="2">
      <t>センギョウ</t>
    </rPh>
    <phoneticPr fontId="2"/>
  </si>
  <si>
    <t>標準</t>
    <phoneticPr fontId="2"/>
  </si>
  <si>
    <t>共通仮設費</t>
    <rPh sb="0" eb="2">
      <t>キョウツウ</t>
    </rPh>
    <rPh sb="2" eb="4">
      <t>カセツ</t>
    </rPh>
    <phoneticPr fontId="2"/>
  </si>
  <si>
    <t>(3)～(8)</t>
    <phoneticPr fontId="2"/>
  </si>
  <si>
    <t>(9)～(11)</t>
    <phoneticPr fontId="2"/>
  </si>
  <si>
    <t>除外</t>
    <phoneticPr fontId="2"/>
  </si>
  <si>
    <t>共通仮設費計</t>
    <rPh sb="0" eb="2">
      <t>キョウツウ</t>
    </rPh>
    <rPh sb="2" eb="4">
      <t>カセツ</t>
    </rPh>
    <phoneticPr fontId="2"/>
  </si>
  <si>
    <t>共通仮設費調整額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phoneticPr fontId="2"/>
  </si>
  <si>
    <t>共通仮設費調整額端数調整</t>
    <rPh sb="0" eb="2">
      <t>キョウツウ</t>
    </rPh>
    <rPh sb="2" eb="4">
      <t>カセツ</t>
    </rPh>
    <rPh sb="4" eb="5">
      <t>ヒ</t>
    </rPh>
    <rPh sb="5" eb="7">
      <t>チョウセイ</t>
    </rPh>
    <rPh sb="7" eb="8">
      <t>ガク</t>
    </rPh>
    <rPh sb="8" eb="10">
      <t>ハスウ</t>
    </rPh>
    <rPh sb="10" eb="12">
      <t>チョウセイ</t>
    </rPh>
    <phoneticPr fontId="2"/>
  </si>
  <si>
    <t>共通仮設費改計</t>
    <rPh sb="0" eb="2">
      <t>キョウツウ</t>
    </rPh>
    <rPh sb="2" eb="4">
      <t>カセツ</t>
    </rPh>
    <rPh sb="4" eb="5">
      <t>ヒ</t>
    </rPh>
    <rPh sb="5" eb="6">
      <t>カイ</t>
    </rPh>
    <phoneticPr fontId="2"/>
  </si>
  <si>
    <t>現場管理費</t>
    <rPh sb="0" eb="2">
      <t>ゲンバ</t>
    </rPh>
    <phoneticPr fontId="2"/>
  </si>
  <si>
    <t>P-2</t>
    <phoneticPr fontId="2"/>
  </si>
  <si>
    <t>専業諸経費集計表</t>
    <rPh sb="0" eb="2">
      <t>センギョウ</t>
    </rPh>
    <rPh sb="2" eb="5">
      <t>ショケイヒ</t>
    </rPh>
    <rPh sb="5" eb="8">
      <t>シュウケイヒョウ</t>
    </rPh>
    <phoneticPr fontId="2"/>
  </si>
  <si>
    <t>改修・新営を選択--&gt;</t>
    <phoneticPr fontId="2"/>
  </si>
  <si>
    <t>改修</t>
    <rPh sb="0" eb="2">
      <t>カイシュウ</t>
    </rPh>
    <phoneticPr fontId="2"/>
  </si>
  <si>
    <t>工事１</t>
    <rPh sb="0" eb="2">
      <t>コウジ</t>
    </rPh>
    <phoneticPr fontId="2"/>
  </si>
  <si>
    <t>内、ﾘｰｽ料</t>
    <rPh sb="0" eb="1">
      <t>ウチ</t>
    </rPh>
    <rPh sb="5" eb="6">
      <t>リョウ</t>
    </rPh>
    <phoneticPr fontId="2"/>
  </si>
  <si>
    <t>内、借地借家料</t>
    <rPh sb="0" eb="1">
      <t>ウチ</t>
    </rPh>
    <rPh sb="2" eb="4">
      <t>シャクチ</t>
    </rPh>
    <rPh sb="4" eb="6">
      <t>シャクヤ</t>
    </rPh>
    <rPh sb="6" eb="7">
      <t>リョウ</t>
    </rPh>
    <phoneticPr fontId="2"/>
  </si>
  <si>
    <t>内、各種負担金</t>
    <rPh sb="0" eb="1">
      <t>ウチ</t>
    </rPh>
    <rPh sb="2" eb="4">
      <t>カクシュ</t>
    </rPh>
    <rPh sb="4" eb="7">
      <t>フタンキン</t>
    </rPh>
    <phoneticPr fontId="2"/>
  </si>
  <si>
    <t>(直接工事費 直接仮設を含む)</t>
    <rPh sb="12" eb="13">
      <t>フク</t>
    </rPh>
    <phoneticPr fontId="2"/>
  </si>
  <si>
    <t>　工 　事 　価 　格</t>
    <phoneticPr fontId="2"/>
  </si>
  <si>
    <t>標準</t>
    <phoneticPr fontId="2"/>
  </si>
  <si>
    <t>（２）改修一般建築工事</t>
    <rPh sb="3" eb="5">
      <t>カイシュウ</t>
    </rPh>
    <rPh sb="5" eb="7">
      <t>イッパン</t>
    </rPh>
    <rPh sb="7" eb="9">
      <t>ケンチク</t>
    </rPh>
    <rPh sb="9" eb="11">
      <t>コウジ</t>
    </rPh>
    <phoneticPr fontId="2"/>
  </si>
  <si>
    <t>（３）警備員費（共通仮設費）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</si>
  <si>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(4-1)率算出共通仮設工事</t>
    <rPh sb="5" eb="6">
      <t>リツ</t>
    </rPh>
    <rPh sb="6" eb="8">
      <t>サンシュツ</t>
    </rPh>
    <phoneticPr fontId="2"/>
  </si>
  <si>
    <t>(4-2)積上げ共通仮設工事※警備員費・率除外項目除く</t>
    <rPh sb="5" eb="7">
      <t>ツミア</t>
    </rPh>
    <rPh sb="8" eb="10">
      <t>キョウツウ</t>
    </rPh>
    <rPh sb="10" eb="12">
      <t>カセツ</t>
    </rPh>
    <rPh sb="12" eb="14">
      <t>コウジ</t>
    </rPh>
    <rPh sb="15" eb="18">
      <t>ケイビイン</t>
    </rPh>
    <rPh sb="18" eb="19">
      <t>ヒ</t>
    </rPh>
    <rPh sb="20" eb="21">
      <t>リツ</t>
    </rPh>
    <rPh sb="21" eb="23">
      <t>ジョガイ</t>
    </rPh>
    <rPh sb="23" eb="25">
      <t>コウモク</t>
    </rPh>
    <rPh sb="25" eb="26">
      <t>ノゾ</t>
    </rPh>
    <phoneticPr fontId="2"/>
  </si>
  <si>
    <t>(5)直接仮設工事（下請経費共）</t>
    <phoneticPr fontId="2"/>
  </si>
  <si>
    <t>(6)建具工事（下請経費共）</t>
    <rPh sb="3" eb="5">
      <t>タテグ</t>
    </rPh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</si>
  <si>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</si>
  <si>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</si>
  <si>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</si>
  <si>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</si>
  <si>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</si>
  <si>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(13)残材処分費及び残土処分費（直工費のみ）</t>
    <rPh sb="17" eb="18">
      <t>チョク</t>
    </rPh>
    <rPh sb="18" eb="19">
      <t>コウ</t>
    </rPh>
    <rPh sb="19" eb="20">
      <t>ヒ</t>
    </rPh>
    <phoneticPr fontId="2"/>
  </si>
  <si>
    <t>(14)残材処分費及び残土処分費(共通仮設)</t>
    <rPh sb="17" eb="19">
      <t>キョウツウ</t>
    </rPh>
    <rPh sb="19" eb="21">
      <t>カセツ</t>
    </rPh>
    <phoneticPr fontId="2"/>
  </si>
  <si>
    <t>(15)リース料</t>
    <phoneticPr fontId="2"/>
  </si>
  <si>
    <t>(16)借地借家料（共通仮設）</t>
    <rPh sb="10" eb="12">
      <t>キョウツウ</t>
    </rPh>
    <rPh sb="12" eb="14">
      <t>カセツ</t>
    </rPh>
    <phoneticPr fontId="2"/>
  </si>
  <si>
    <t>(17)別途算定（直工費）</t>
    <rPh sb="4" eb="6">
      <t>ベット</t>
    </rPh>
    <rPh sb="6" eb="8">
      <t>サンテイ</t>
    </rPh>
    <rPh sb="9" eb="10">
      <t>チョク</t>
    </rPh>
    <rPh sb="10" eb="11">
      <t>コウ</t>
    </rPh>
    <rPh sb="11" eb="12">
      <t>ヒ</t>
    </rPh>
    <phoneticPr fontId="2"/>
  </si>
  <si>
    <t>(18)別途算定（共通仮設）</t>
    <rPh sb="4" eb="6">
      <t>ベット</t>
    </rPh>
    <rPh sb="6" eb="8">
      <t>サンテイ</t>
    </rPh>
    <rPh sb="9" eb="11">
      <t>キョウツウ</t>
    </rPh>
    <rPh sb="11" eb="13">
      <t>カセツ</t>
    </rPh>
    <phoneticPr fontId="2"/>
  </si>
  <si>
    <t>(19)下水道使用料、各種負担金（共通仮設）</t>
    <rPh sb="11" eb="13">
      <t>カクシュ</t>
    </rPh>
    <rPh sb="13" eb="16">
      <t>フタンキン</t>
    </rPh>
    <rPh sb="17" eb="19">
      <t>キョウツウ</t>
    </rPh>
    <rPh sb="19" eb="21">
      <t>カセツ</t>
    </rPh>
    <phoneticPr fontId="2"/>
  </si>
  <si>
    <t>P-3</t>
    <phoneticPr fontId="2"/>
  </si>
  <si>
    <t>当該率</t>
    <phoneticPr fontId="2"/>
  </si>
  <si>
    <r>
      <t>対象直接工事費</t>
    </r>
    <r>
      <rPr>
        <sz val="10"/>
        <color indexed="36"/>
        <rFont val="Meiryo UI"/>
        <family val="3"/>
        <charset val="128"/>
      </rPr>
      <t>（（9）～(14)、(16)～(19)除く）</t>
    </r>
    <rPh sb="2" eb="4">
      <t>チョクセツ</t>
    </rPh>
    <rPh sb="26" eb="27">
      <t>ノゾ</t>
    </rPh>
    <phoneticPr fontId="2"/>
  </si>
  <si>
    <t>-</t>
    <phoneticPr fontId="2"/>
  </si>
  <si>
    <t>-</t>
    <phoneticPr fontId="2"/>
  </si>
  <si>
    <t>(5)直接仮設工事</t>
    <phoneticPr fontId="2"/>
  </si>
  <si>
    <t>(6)建具工事</t>
    <rPh sb="3" eb="5">
      <t>タテグ</t>
    </rPh>
    <phoneticPr fontId="2"/>
  </si>
  <si>
    <t>(7)場内小運搬費</t>
    <phoneticPr fontId="2"/>
  </si>
  <si>
    <t>(8)〃人力積込み費</t>
    <phoneticPr fontId="2"/>
  </si>
  <si>
    <t>(9)〃搬出準備費</t>
    <phoneticPr fontId="2"/>
  </si>
  <si>
    <t>(10)近隣家屋調査及び地質調査</t>
    <rPh sb="4" eb="6">
      <t>キンリン</t>
    </rPh>
    <rPh sb="6" eb="8">
      <t>カオク</t>
    </rPh>
    <rPh sb="8" eb="10">
      <t>チョウサ</t>
    </rPh>
    <rPh sb="10" eb="11">
      <t>オヨ</t>
    </rPh>
    <rPh sb="12" eb="14">
      <t>チシツ</t>
    </rPh>
    <rPh sb="14" eb="16">
      <t>チョウサ</t>
    </rPh>
    <phoneticPr fontId="2"/>
  </si>
  <si>
    <t>(11)</t>
  </si>
  <si>
    <t>（13）（17）</t>
    <phoneticPr fontId="2"/>
  </si>
  <si>
    <t>-</t>
    <phoneticPr fontId="2"/>
  </si>
  <si>
    <t>(7)場内小運搬費</t>
    <phoneticPr fontId="2"/>
  </si>
  <si>
    <t>(8)〃人力積込み費</t>
    <phoneticPr fontId="2"/>
  </si>
  <si>
    <t>（13）（17）</t>
    <phoneticPr fontId="2"/>
  </si>
  <si>
    <t>諸 経 費 算 定 表 (1)</t>
  </si>
  <si>
    <t>P-4</t>
    <phoneticPr fontId="2"/>
  </si>
  <si>
    <t>※(1)及び(2) ---&gt; 新築・改修工事が一括発注の場合は、合計額に対する各々の率</t>
    <phoneticPr fontId="2"/>
  </si>
  <si>
    <t>(3）警備員費（共通仮設費）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</si>
  <si>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(5)直接仮設工事</t>
    <phoneticPr fontId="2"/>
  </si>
  <si>
    <t>(6)建具工事</t>
    <rPh sb="3" eb="5">
      <t>タテグ</t>
    </rPh>
    <rPh sb="5" eb="7">
      <t>コウジ</t>
    </rPh>
    <phoneticPr fontId="2"/>
  </si>
  <si>
    <t>(8)〃人力積込み費</t>
    <phoneticPr fontId="2"/>
  </si>
  <si>
    <t>(10)近隣家屋調査及び地質調査</t>
    <phoneticPr fontId="2"/>
  </si>
  <si>
    <t>(11)　---</t>
    <phoneticPr fontId="2"/>
  </si>
  <si>
    <t>(12)　---</t>
    <phoneticPr fontId="2"/>
  </si>
  <si>
    <t>(13)～(19)</t>
    <phoneticPr fontId="2"/>
  </si>
  <si>
    <t>当該率---&gt;</t>
    <phoneticPr fontId="2"/>
  </si>
  <si>
    <t>共通仮設費(現場管理費計上対象）</t>
    <rPh sb="0" eb="2">
      <t>キョウツウ</t>
    </rPh>
    <rPh sb="2" eb="4">
      <t>カセツ</t>
    </rPh>
    <rPh sb="4" eb="5">
      <t>ヒ</t>
    </rPh>
    <rPh sb="6" eb="8">
      <t>ゲンバ</t>
    </rPh>
    <rPh sb="8" eb="11">
      <t>カンリヒ</t>
    </rPh>
    <rPh sb="11" eb="13">
      <t>ケイジョウ</t>
    </rPh>
    <rPh sb="13" eb="15">
      <t>タイショウ</t>
    </rPh>
    <phoneticPr fontId="2"/>
  </si>
  <si>
    <t>(3)警備員費（共通仮設費）</t>
    <rPh sb="3" eb="6">
      <t>ケイビイン</t>
    </rPh>
    <rPh sb="6" eb="7">
      <t>ヒ</t>
    </rPh>
    <rPh sb="8" eb="10">
      <t>キョウツウ</t>
    </rPh>
    <rPh sb="10" eb="12">
      <t>カセツ</t>
    </rPh>
    <rPh sb="12" eb="13">
      <t>ヒ</t>
    </rPh>
    <phoneticPr fontId="2"/>
  </si>
  <si>
    <t>(4-1）率対象共通仮設費</t>
    <rPh sb="5" eb="6">
      <t>リツ</t>
    </rPh>
    <rPh sb="6" eb="8">
      <t>タイショウ</t>
    </rPh>
    <rPh sb="8" eb="10">
      <t>キョウツウ</t>
    </rPh>
    <rPh sb="10" eb="12">
      <t>カセツ</t>
    </rPh>
    <rPh sb="12" eb="13">
      <t>ヒ</t>
    </rPh>
    <phoneticPr fontId="2"/>
  </si>
  <si>
    <t>(11)　---</t>
    <phoneticPr fontId="2"/>
  </si>
  <si>
    <t>(12)　---</t>
    <phoneticPr fontId="2"/>
  </si>
  <si>
    <t>(17)包含設備工事　現場管理費</t>
    <rPh sb="4" eb="6">
      <t>ホウガン</t>
    </rPh>
    <rPh sb="6" eb="8">
      <t>セツビ</t>
    </rPh>
    <rPh sb="8" eb="10">
      <t>コウジ</t>
    </rPh>
    <rPh sb="11" eb="13">
      <t>ゲンバ</t>
    </rPh>
    <rPh sb="13" eb="16">
      <t>カンリヒ</t>
    </rPh>
    <phoneticPr fontId="2"/>
  </si>
  <si>
    <t>(13)(14)(15)(16)(19)</t>
    <phoneticPr fontId="2"/>
  </si>
  <si>
    <t>諸 経 費 算 定 表 (2)</t>
  </si>
  <si>
    <t>P-5</t>
    <phoneticPr fontId="2"/>
  </si>
  <si>
    <t>(1)建築工事～(17)別途算定</t>
    <rPh sb="12" eb="14">
      <t>ベット</t>
    </rPh>
    <rPh sb="14" eb="16">
      <t>サンテイ</t>
    </rPh>
    <phoneticPr fontId="2"/>
  </si>
  <si>
    <t>(3-2)～(8)専業工事</t>
    <phoneticPr fontId="2"/>
  </si>
  <si>
    <t>一般建築工事＋その他等</t>
    <phoneticPr fontId="2"/>
  </si>
  <si>
    <t>(3)～(8)専業工事</t>
    <phoneticPr fontId="2"/>
  </si>
  <si>
    <t>Ｋｒ</t>
    <phoneticPr fontId="2"/>
  </si>
  <si>
    <t>Jo</t>
    <phoneticPr fontId="2"/>
  </si>
  <si>
    <t>改修・新営を選択--&gt;</t>
    <phoneticPr fontId="2"/>
  </si>
  <si>
    <t>工事２</t>
    <rPh sb="0" eb="2">
      <t>コウジ</t>
    </rPh>
    <phoneticPr fontId="2"/>
  </si>
  <si>
    <t>工事３</t>
    <rPh sb="0" eb="2">
      <t>コウジ</t>
    </rPh>
    <phoneticPr fontId="2"/>
  </si>
  <si>
    <t>工事４</t>
    <rPh sb="0" eb="2">
      <t>コウジ</t>
    </rPh>
    <phoneticPr fontId="2"/>
  </si>
  <si>
    <t>工事５</t>
    <rPh sb="0" eb="2">
      <t>コウジ</t>
    </rPh>
    <phoneticPr fontId="2"/>
  </si>
  <si>
    <t>工事６</t>
    <rPh sb="0" eb="2">
      <t>コウジ</t>
    </rPh>
    <phoneticPr fontId="2"/>
  </si>
  <si>
    <t>内、警備員費</t>
    <rPh sb="0" eb="1">
      <t>ウチ</t>
    </rPh>
    <rPh sb="2" eb="5">
      <t>ケイビイン</t>
    </rPh>
    <rPh sb="5" eb="6">
      <t>ヒ</t>
    </rPh>
    <phoneticPr fontId="2"/>
  </si>
  <si>
    <t>　純　工　事　費　　　　　　合　　計</t>
    <phoneticPr fontId="2"/>
  </si>
  <si>
    <t>(5)直接仮設工事（下請経費共）</t>
    <phoneticPr fontId="2"/>
  </si>
  <si>
    <t>(7)場内小運搬費（下請経費共）</t>
    <phoneticPr fontId="2"/>
  </si>
  <si>
    <t>(8)〃人力積込み費（下請経費共）</t>
    <phoneticPr fontId="2"/>
  </si>
  <si>
    <t>(9)〃搬出準備費</t>
    <phoneticPr fontId="2"/>
  </si>
  <si>
    <t>(10)近隣家屋調査及び地質調査</t>
    <phoneticPr fontId="2"/>
  </si>
  <si>
    <t>(12)</t>
    <phoneticPr fontId="2"/>
  </si>
  <si>
    <t>(15)リース料</t>
    <phoneticPr fontId="2"/>
  </si>
  <si>
    <t>P-7</t>
    <phoneticPr fontId="2"/>
  </si>
  <si>
    <t>標準</t>
    <phoneticPr fontId="2"/>
  </si>
  <si>
    <t>-</t>
    <phoneticPr fontId="2"/>
  </si>
  <si>
    <t>（13）（17）</t>
    <phoneticPr fontId="2"/>
  </si>
  <si>
    <t>-</t>
    <phoneticPr fontId="2"/>
  </si>
  <si>
    <t>当該率---&gt;</t>
    <phoneticPr fontId="2"/>
  </si>
  <si>
    <t>(5)直接仮設工事</t>
    <phoneticPr fontId="2"/>
  </si>
  <si>
    <t>(8)〃人力積込み費</t>
    <phoneticPr fontId="2"/>
  </si>
  <si>
    <t>P-8</t>
    <phoneticPr fontId="2"/>
  </si>
  <si>
    <t>(11)　---</t>
    <phoneticPr fontId="2"/>
  </si>
  <si>
    <t>(13)～(19)</t>
    <phoneticPr fontId="2"/>
  </si>
  <si>
    <t>当該率---&gt;</t>
    <phoneticPr fontId="2"/>
  </si>
  <si>
    <t>(11)　---</t>
    <phoneticPr fontId="2"/>
  </si>
  <si>
    <t>(13)(14)(15)(16)(19)</t>
    <phoneticPr fontId="2"/>
  </si>
  <si>
    <t>P-9</t>
    <phoneticPr fontId="2"/>
  </si>
  <si>
    <t>一般管理費等対象工事原価（下水道,専業を除く）</t>
    <phoneticPr fontId="2"/>
  </si>
  <si>
    <t>(3-2)～(8)専業工事</t>
    <phoneticPr fontId="2"/>
  </si>
  <si>
    <t>一般建築工事＋その他等</t>
    <phoneticPr fontId="2"/>
  </si>
  <si>
    <t>改修</t>
  </si>
  <si>
    <t>工事1</t>
    <rPh sb="0" eb="2">
      <t>コウジ</t>
    </rPh>
    <phoneticPr fontId="2"/>
  </si>
  <si>
    <t>工事2</t>
    <rPh sb="0" eb="2">
      <t>コウジ</t>
    </rPh>
    <phoneticPr fontId="2"/>
  </si>
  <si>
    <t>工事3</t>
    <rPh sb="0" eb="2">
      <t>コウジ</t>
    </rPh>
    <phoneticPr fontId="2"/>
  </si>
  <si>
    <t>工事4</t>
    <rPh sb="0" eb="2">
      <t>コウジ</t>
    </rPh>
    <phoneticPr fontId="2"/>
  </si>
  <si>
    <t>工事5</t>
    <rPh sb="0" eb="2">
      <t>コウジ</t>
    </rPh>
    <phoneticPr fontId="2"/>
  </si>
  <si>
    <t>可動式ホーム柵設置に伴う建築工事</t>
  </si>
  <si>
    <t>隙間解消工事</t>
  </si>
  <si>
    <t>列車停止位置変更に伴う建築工事</t>
  </si>
  <si>
    <t>床仕上改造その他工事</t>
  </si>
  <si>
    <t>整列乗車対策工事</t>
  </si>
  <si>
    <t>ア）東梅田駅</t>
    <phoneticPr fontId="2"/>
  </si>
  <si>
    <t>イ）堺筋本町駅</t>
    <phoneticPr fontId="2"/>
  </si>
  <si>
    <t>工事6</t>
    <rPh sb="0" eb="2">
      <t>コウジ</t>
    </rPh>
    <phoneticPr fontId="2"/>
  </si>
  <si>
    <t>工事7</t>
    <rPh sb="0" eb="2">
      <t>コウジ</t>
    </rPh>
    <phoneticPr fontId="2"/>
  </si>
  <si>
    <t>工事8</t>
    <rPh sb="0" eb="2">
      <t>コウジ</t>
    </rPh>
    <phoneticPr fontId="2"/>
  </si>
  <si>
    <t>東梅田外１駅可動式ホーム柵設置に伴う建築その他工事</t>
    <phoneticPr fontId="2"/>
  </si>
  <si>
    <t>ア)東梅田駅の部</t>
    <rPh sb="2" eb="6">
      <t>ヒガシウメダエキ</t>
    </rPh>
    <rPh sb="7" eb="8">
      <t>ブ</t>
    </rPh>
    <phoneticPr fontId="2"/>
  </si>
  <si>
    <t xml:space="preserve">  計</t>
  </si>
  <si>
    <t>イ)6号線堺筋本町駅の部</t>
    <rPh sb="3" eb="5">
      <t>ゴウセン</t>
    </rPh>
    <rPh sb="5" eb="9">
      <t>サカイスジホンマチ</t>
    </rPh>
    <rPh sb="9" eb="10">
      <t>エキ</t>
    </rPh>
    <rPh sb="11" eb="12">
      <t>ブ</t>
    </rPh>
    <phoneticPr fontId="2"/>
  </si>
  <si>
    <t>可動式ホーム柵設置に伴う建築工事</t>
    <rPh sb="0" eb="3">
      <t>カドウシキ</t>
    </rPh>
    <rPh sb="6" eb="7">
      <t>サク</t>
    </rPh>
    <rPh sb="7" eb="9">
      <t>セッチ</t>
    </rPh>
    <rPh sb="10" eb="11">
      <t>トモナ</t>
    </rPh>
    <rPh sb="12" eb="14">
      <t>ケンチク</t>
    </rPh>
    <rPh sb="14" eb="16">
      <t>コウジ</t>
    </rPh>
    <phoneticPr fontId="2"/>
  </si>
  <si>
    <t>隙間解消工事</t>
    <rPh sb="0" eb="2">
      <t>スキマ</t>
    </rPh>
    <rPh sb="2" eb="4">
      <t>カイショウ</t>
    </rPh>
    <rPh sb="4" eb="6">
      <t>コウジ</t>
    </rPh>
    <phoneticPr fontId="2"/>
  </si>
  <si>
    <t>列車停止位置変更に伴う建築工事</t>
    <rPh sb="0" eb="2">
      <t>レッシャ</t>
    </rPh>
    <rPh sb="2" eb="4">
      <t>テイシ</t>
    </rPh>
    <rPh sb="4" eb="6">
      <t>イチ</t>
    </rPh>
    <rPh sb="6" eb="8">
      <t>ヘンコウ</t>
    </rPh>
    <rPh sb="9" eb="10">
      <t>トモナ</t>
    </rPh>
    <rPh sb="11" eb="13">
      <t>ケンチク</t>
    </rPh>
    <rPh sb="13" eb="15">
      <t>コウジ</t>
    </rPh>
    <phoneticPr fontId="2"/>
  </si>
  <si>
    <t>床仕上改造その他工事</t>
    <rPh sb="0" eb="1">
      <t>ユカ</t>
    </rPh>
    <rPh sb="1" eb="3">
      <t>シア</t>
    </rPh>
    <rPh sb="3" eb="5">
      <t>カイゾウ</t>
    </rPh>
    <rPh sb="7" eb="8">
      <t>タ</t>
    </rPh>
    <rPh sb="8" eb="10">
      <t>コウジ</t>
    </rPh>
    <phoneticPr fontId="2"/>
  </si>
  <si>
    <t>整列乗車対策工事</t>
    <rPh sb="0" eb="2">
      <t>セイレツ</t>
    </rPh>
    <rPh sb="2" eb="4">
      <t>ジョウシャ</t>
    </rPh>
    <rPh sb="4" eb="6">
      <t>タイサク</t>
    </rPh>
    <rPh sb="6" eb="8">
      <t>コウジ</t>
    </rPh>
    <phoneticPr fontId="2"/>
  </si>
  <si>
    <t>小計</t>
    <rPh sb="0" eb="2">
      <t>ショウケイ</t>
    </rPh>
    <phoneticPr fontId="2"/>
  </si>
  <si>
    <t>合　　計</t>
  </si>
  <si>
    <t>由肥</t>
    <rPh sb="0" eb="1">
      <t>ユ</t>
    </rPh>
    <rPh sb="1" eb="2">
      <t>ヒ</t>
    </rPh>
    <phoneticPr fontId="2"/>
  </si>
  <si>
    <t>鹿島</t>
    <rPh sb="0" eb="2">
      <t>カシマ</t>
    </rPh>
    <phoneticPr fontId="2"/>
  </si>
  <si>
    <t>梶浦</t>
    <rPh sb="0" eb="2">
      <t>カジウラ</t>
    </rPh>
    <phoneticPr fontId="2"/>
  </si>
  <si>
    <t>第　2　回　設　計　変　更　工　事　費　内　訳　書</t>
    <rPh sb="0" eb="1">
      <t>ダイ</t>
    </rPh>
    <rPh sb="4" eb="5">
      <t>カイ</t>
    </rPh>
    <rPh sb="6" eb="7">
      <t>セツ</t>
    </rPh>
    <rPh sb="8" eb="9">
      <t>ケイ</t>
    </rPh>
    <rPh sb="10" eb="11">
      <t>ヘン</t>
    </rPh>
    <rPh sb="12" eb="13">
      <t>サラ</t>
    </rPh>
    <rPh sb="14" eb="15">
      <t>タクミ</t>
    </rPh>
    <rPh sb="16" eb="17">
      <t>コト</t>
    </rPh>
    <rPh sb="18" eb="19">
      <t>ヒ</t>
    </rPh>
    <rPh sb="20" eb="21">
      <t>ウチ</t>
    </rPh>
    <rPh sb="22" eb="23">
      <t>ヤク</t>
    </rPh>
    <rPh sb="24" eb="25">
      <t>ショ</t>
    </rPh>
    <phoneticPr fontId="2"/>
  </si>
  <si>
    <t>D2191004</t>
    <phoneticPr fontId="2"/>
  </si>
  <si>
    <t>金属工事   見積り金額比較表</t>
    <rPh sb="0" eb="2">
      <t>キンゾク</t>
    </rPh>
    <phoneticPr fontId="2"/>
  </si>
  <si>
    <t>【東梅田駅】</t>
    <rPh sb="1" eb="5">
      <t>ヒガシウメダエキ</t>
    </rPh>
    <phoneticPr fontId="2"/>
  </si>
  <si>
    <t>A:㈱佐渡島</t>
    <rPh sb="3" eb="5">
      <t>サド</t>
    </rPh>
    <rPh sb="5" eb="6">
      <t>シマ</t>
    </rPh>
    <phoneticPr fontId="2"/>
  </si>
  <si>
    <t>B:</t>
    <phoneticPr fontId="2"/>
  </si>
  <si>
    <t>ヶ所</t>
    <rPh sb="1" eb="2">
      <t>ショ</t>
    </rPh>
    <phoneticPr fontId="2"/>
  </si>
  <si>
    <t>W350×L910×H40</t>
    <phoneticPr fontId="2"/>
  </si>
  <si>
    <t>ビス止め</t>
    <rPh sb="2" eb="3">
      <t>ト</t>
    </rPh>
    <phoneticPr fontId="2"/>
  </si>
  <si>
    <t>取付ｱﾝｸﾞﾙ：L-25×25×2.3　L=50</t>
    <rPh sb="0" eb="2">
      <t>トリツケ</t>
    </rPh>
    <phoneticPr fontId="2"/>
  </si>
  <si>
    <t>床板ｽﾁｰﾙPL-3.2×W350×L900</t>
    <rPh sb="0" eb="2">
      <t>ユカイタ</t>
    </rPh>
    <phoneticPr fontId="2"/>
  </si>
  <si>
    <t>錆止め2回塗り共</t>
    <rPh sb="0" eb="1">
      <t>サビ</t>
    </rPh>
    <rPh sb="1" eb="2">
      <t>ド</t>
    </rPh>
    <rPh sb="4" eb="5">
      <t>カイ</t>
    </rPh>
    <rPh sb="5" eb="6">
      <t>ヌ</t>
    </rPh>
    <rPh sb="7" eb="8">
      <t>トモ</t>
    </rPh>
    <phoneticPr fontId="2"/>
  </si>
  <si>
    <t>金属工事</t>
    <rPh sb="0" eb="2">
      <t>キンゾク</t>
    </rPh>
    <phoneticPr fontId="2"/>
  </si>
  <si>
    <t>鼻先隙間ゴム取付金物</t>
    <rPh sb="0" eb="2">
      <t>ハナサキ</t>
    </rPh>
    <rPh sb="2" eb="4">
      <t>スキマ</t>
    </rPh>
    <rPh sb="6" eb="8">
      <t>トリツケ</t>
    </rPh>
    <rPh sb="8" eb="10">
      <t>カナモノ</t>
    </rPh>
    <phoneticPr fontId="2"/>
  </si>
  <si>
    <t>ステンレス製 下地・アンカー共</t>
    <rPh sb="5" eb="6">
      <t>セイ</t>
    </rPh>
    <rPh sb="7" eb="9">
      <t>シタジ</t>
    </rPh>
    <rPh sb="14" eb="15">
      <t>トモ</t>
    </rPh>
    <phoneticPr fontId="2"/>
  </si>
  <si>
    <t>L=3295</t>
  </si>
  <si>
    <t>L=2635</t>
  </si>
  <si>
    <t>【東梅田駅】</t>
    <rPh sb="1" eb="5">
      <t>ヒガシウメダエキ</t>
    </rPh>
    <phoneticPr fontId="2"/>
  </si>
  <si>
    <t>【堺筋本町駅】</t>
    <rPh sb="1" eb="6">
      <t>サカイスジホンマチエキ</t>
    </rPh>
    <phoneticPr fontId="2"/>
  </si>
  <si>
    <t>運転手・車掌扉開口部</t>
    <rPh sb="0" eb="3">
      <t>ウンテンシュ</t>
    </rPh>
    <rPh sb="4" eb="6">
      <t>シャショウ</t>
    </rPh>
    <rPh sb="6" eb="7">
      <t>トビラ</t>
    </rPh>
    <rPh sb="7" eb="10">
      <t>カイコウブ</t>
    </rPh>
    <phoneticPr fontId="2"/>
  </si>
  <si>
    <t>鼻先ｽﾃﾝﾚｽプレート</t>
    <rPh sb="0" eb="2">
      <t>ハナサキ</t>
    </rPh>
    <phoneticPr fontId="2"/>
  </si>
  <si>
    <t>SUSL6.0　L1100×H150</t>
    <phoneticPr fontId="2"/>
  </si>
  <si>
    <t>SUS-50×50×4　L=40　4カ所</t>
    <rPh sb="19" eb="20">
      <t>ショ</t>
    </rPh>
    <phoneticPr fontId="2"/>
  </si>
  <si>
    <t>固定ボルトφ12</t>
    <rPh sb="0" eb="2">
      <t>コテイ</t>
    </rPh>
    <phoneticPr fontId="2"/>
  </si>
  <si>
    <t>SUS-30×30×3　L=475　4カ所</t>
    <rPh sb="20" eb="21">
      <t>ショ</t>
    </rPh>
    <phoneticPr fontId="2"/>
  </si>
  <si>
    <t>固定アンカー2-φ12</t>
    <rPh sb="0" eb="2">
      <t>コテイ</t>
    </rPh>
    <phoneticPr fontId="2"/>
  </si>
  <si>
    <t>SUSM10　六角ボルト</t>
    <rPh sb="7" eb="9">
      <t>ロッカク</t>
    </rPh>
    <phoneticPr fontId="2"/>
  </si>
  <si>
    <t>あと施工ｱﾝｶｰ　2-M10</t>
    <rPh sb="2" eb="4">
      <t>セコウ</t>
    </rPh>
    <phoneticPr fontId="2"/>
  </si>
  <si>
    <t>運転手・車掌扉開口部</t>
    <phoneticPr fontId="2"/>
  </si>
  <si>
    <t>SUSL6.0　L1100×H150</t>
    <phoneticPr fontId="2"/>
  </si>
  <si>
    <t>ヶ所</t>
    <phoneticPr fontId="2"/>
  </si>
  <si>
    <t>金属工事   見積金額比較表</t>
    <phoneticPr fontId="2"/>
  </si>
  <si>
    <t>連結部扉開口部</t>
    <rPh sb="0" eb="2">
      <t>レンケツ</t>
    </rPh>
    <rPh sb="2" eb="3">
      <t>ブ</t>
    </rPh>
    <rPh sb="3" eb="4">
      <t>トビラ</t>
    </rPh>
    <rPh sb="4" eb="7">
      <t>カイコウブ</t>
    </rPh>
    <phoneticPr fontId="2"/>
  </si>
  <si>
    <t>連結部扉部鼻先架台</t>
    <rPh sb="0" eb="2">
      <t>レンケツ</t>
    </rPh>
    <rPh sb="2" eb="3">
      <t>ブ</t>
    </rPh>
    <rPh sb="3" eb="4">
      <t>トビラ</t>
    </rPh>
    <rPh sb="4" eb="5">
      <t>ブ</t>
    </rPh>
    <rPh sb="5" eb="7">
      <t>ハナサキ</t>
    </rPh>
    <rPh sb="7" eb="9">
      <t>カダイ</t>
    </rPh>
    <phoneticPr fontId="2"/>
  </si>
  <si>
    <t>SUSL6.0　L950×H150</t>
    <phoneticPr fontId="2"/>
  </si>
  <si>
    <t>3-M10　タップネジ切</t>
    <rPh sb="11" eb="12">
      <t>キリ</t>
    </rPh>
    <phoneticPr fontId="2"/>
  </si>
  <si>
    <t>4-M10　タップネジ切</t>
    <rPh sb="11" eb="12">
      <t>キリ</t>
    </rPh>
    <phoneticPr fontId="2"/>
  </si>
  <si>
    <t>金属工事</t>
    <rPh sb="0" eb="2">
      <t>キンゾク</t>
    </rPh>
    <rPh sb="2" eb="4">
      <t>コウジ</t>
    </rPh>
    <phoneticPr fontId="2"/>
  </si>
  <si>
    <t>W350×L910×H40</t>
    <phoneticPr fontId="2"/>
  </si>
  <si>
    <t>ヶ所</t>
    <phoneticPr fontId="2"/>
  </si>
  <si>
    <t>下地ｽﾁｰﾙ☐-25×25×1.6　＠300</t>
    <rPh sb="0" eb="2">
      <t>シタジ</t>
    </rPh>
    <phoneticPr fontId="2"/>
  </si>
  <si>
    <t>連結部扉開口部</t>
    <phoneticPr fontId="2"/>
  </si>
  <si>
    <t>ヶ所</t>
    <phoneticPr fontId="2"/>
  </si>
  <si>
    <t>見) ㈱佐渡島</t>
    <phoneticPr fontId="2"/>
  </si>
  <si>
    <t>一般管理費等</t>
    <phoneticPr fontId="2"/>
  </si>
  <si>
    <t>現場管理費</t>
    <rPh sb="0" eb="2">
      <t>ゲンバ</t>
    </rPh>
    <rPh sb="2" eb="5">
      <t>カンリヒ</t>
    </rPh>
    <phoneticPr fontId="2"/>
  </si>
  <si>
    <t>落札率R=</t>
    <rPh sb="0" eb="2">
      <t>ラクサツ</t>
    </rPh>
    <rPh sb="2" eb="3">
      <t>リツ</t>
    </rPh>
    <phoneticPr fontId="2"/>
  </si>
  <si>
    <t>工事2</t>
    <rPh sb="0" eb="2">
      <t>コウジ</t>
    </rPh>
    <phoneticPr fontId="2"/>
  </si>
  <si>
    <t>㈱佐渡島</t>
    <phoneticPr fontId="2"/>
  </si>
  <si>
    <t>ヶ所</t>
    <phoneticPr fontId="2"/>
  </si>
  <si>
    <t>見) ㈱佐渡島</t>
    <phoneticPr fontId="2"/>
  </si>
  <si>
    <t>見) ㈱佐渡島</t>
    <phoneticPr fontId="2"/>
  </si>
  <si>
    <t>SUSL6.0　L950×H150</t>
    <phoneticPr fontId="2"/>
  </si>
  <si>
    <t>見) ㈱佐渡島</t>
    <phoneticPr fontId="2"/>
  </si>
  <si>
    <t>工事1</t>
    <rPh sb="0" eb="2">
      <t xml:space="preserve">コウジ </t>
    </rPh>
    <phoneticPr fontId="2"/>
  </si>
  <si>
    <t>工事2</t>
    <rPh sb="0" eb="2">
      <t xml:space="preserve">コウジ </t>
    </rPh>
    <phoneticPr fontId="2"/>
  </si>
  <si>
    <t>費目</t>
    <rPh sb="0" eb="2">
      <t>ヒモ</t>
    </rPh>
    <phoneticPr fontId="2"/>
  </si>
  <si>
    <t>ア)東梅田駅の部-可動式ホーム柵設置に伴う建築工事</t>
    <rPh sb="2" eb="6">
      <t>ヒガシウメダエキ</t>
    </rPh>
    <rPh sb="7" eb="8">
      <t>ブ</t>
    </rPh>
    <phoneticPr fontId="2"/>
  </si>
  <si>
    <t>イ)6号線堺筋本町駅の部-可動式ホーム柵設置に伴う建築工事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</si>
</sst>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76" formatCode=";;;"/>
    <numFmt numFmtId="177" formatCode="#,##0;&quot;△ &quot;#,##0"/>
    <numFmt numFmtId="178" formatCode="0&quot;A&quot;"/>
    <numFmt numFmtId="179" formatCode="#,##0_ "/>
    <numFmt numFmtId="180" formatCode="0_ "/>
    <numFmt numFmtId="181" formatCode="0;0;;@"/>
    <numFmt numFmtId="182" formatCode="&quot;◇&quot;@"/>
    <numFmt numFmtId="183" formatCode="General;\-General;"/>
    <numFmt numFmtId="184" formatCode="#,##0;&quot;△ &quot;#,##0;"/>
    <numFmt numFmtId="185" formatCode="0;&quot;△&quot;0;;"/>
    <numFmt numFmtId="186" formatCode="General;&quot;△&quot;General;"/>
    <numFmt numFmtId="187" formatCode="#,##0.0;&quot;△ &quot;#,##0.0"/>
    <numFmt numFmtId="188" formatCode="yyyy&quot;年&quot;m&quot;月&quot;d&quot;日&quot;;@"/>
    <numFmt numFmtId="189" formatCode="&quot;2018-&quot;####"/>
    <numFmt numFmtId="190" formatCode="0&quot;式&quot;"/>
    <numFmt numFmtId="191" formatCode="#,##0.0;[Red]\-#,##0.0"/>
    <numFmt numFmtId="192" formatCode="0.0_ "/>
    <numFmt numFmtId="193" formatCode="0.00_ "/>
    <numFmt numFmtId="194" formatCode="0.0"/>
    <numFmt numFmtId="195" formatCode="#,##0_ ;[Red]\-#,##0\ "/>
  </numFmts>
  <fonts count="1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name val="ＭＳ Ｐ明朝"/>
      <family val="1"/>
      <charset val="128"/>
    </font>
    <font>
      <sz val="14"/>
      <color indexed="8"/>
      <name val="ＭＳ Ｐ明朝"/>
      <family val="1"/>
      <charset val="128"/>
    </font>
    <font>
      <b/>
      <sz val="14"/>
      <color indexed="8"/>
      <name val="ＭＳ Ｐ明朝"/>
      <family val="1"/>
      <charset val="128"/>
    </font>
    <font>
      <b/>
      <sz val="20"/>
      <color indexed="8"/>
      <name val="ＭＳ Ｐゴシック"/>
      <family val="3"/>
      <charset val="128"/>
    </font>
    <font>
      <sz val="8"/>
      <color indexed="8"/>
      <name val="ＭＳ Ｐ明朝"/>
      <family val="1"/>
      <charset val="128"/>
    </font>
    <font>
      <sz val="10"/>
      <color indexed="8"/>
      <name val="ＭＳ Ｐ明朝"/>
      <family val="1"/>
      <charset val="128"/>
    </font>
    <font>
      <sz val="10"/>
      <name val="ＭＳ Ｐゴシック"/>
      <family val="3"/>
      <charset val="128"/>
    </font>
    <font>
      <b/>
      <sz val="11"/>
      <color indexed="8"/>
      <name val="ＭＳ Ｐ明朝"/>
      <family val="1"/>
      <charset val="128"/>
    </font>
    <font>
      <sz val="12"/>
      <color indexed="8"/>
      <name val="ＭＳ Ｐ明朝"/>
      <family val="1"/>
      <charset val="128"/>
    </font>
    <font>
      <sz val="11"/>
      <color indexed="8"/>
      <name val="ＭＳ Ｐ明朝"/>
      <family val="1"/>
      <charset val="128"/>
    </font>
    <font>
      <sz val="16"/>
      <name val="ＭＳ Ｐ明朝"/>
      <family val="1"/>
      <charset val="128"/>
    </font>
    <font>
      <b/>
      <sz val="18"/>
      <color indexed="8"/>
      <name val="ＭＳ Ｐゴシック"/>
      <family val="3"/>
      <charset val="128"/>
    </font>
    <font>
      <sz val="13"/>
      <color indexed="8"/>
      <name val="ＭＳ Ｐ明朝"/>
      <family val="1"/>
      <charset val="128"/>
    </font>
    <font>
      <sz val="9"/>
      <name val="ＭＳ Ｐ明朝"/>
      <family val="1"/>
      <charset val="128"/>
    </font>
    <font>
      <b/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48"/>
      <color indexed="8"/>
      <name val="ＭＳ Ｐゴシック"/>
      <family val="3"/>
      <charset val="128"/>
    </font>
    <font>
      <b/>
      <u/>
      <sz val="11"/>
      <name val="ＭＳ Ｐゴシック"/>
      <family val="3"/>
      <charset val="128"/>
    </font>
    <font>
      <sz val="14"/>
      <name val="ＭＳ Ｐ明朝"/>
      <family val="1"/>
      <charset val="128"/>
    </font>
    <font>
      <sz val="9"/>
      <name val="ＭＳ Ｐゴシック"/>
      <family val="3"/>
      <charset val="128"/>
    </font>
    <font>
      <sz val="9"/>
      <color indexed="8"/>
      <name val="ＭＳ Ｐ明朝"/>
      <family val="1"/>
      <charset val="128"/>
    </font>
    <font>
      <i/>
      <sz val="9"/>
      <name val="ＭＳ Ｐゴシック"/>
      <family val="3"/>
      <charset val="128"/>
    </font>
    <font>
      <sz val="12"/>
      <name val="ＭＳ Ｐゴシック"/>
      <family val="3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11"/>
      <color indexed="10"/>
      <name val="ＭＳ Ｐ明朝"/>
      <family val="1"/>
      <charset val="128"/>
    </font>
    <font>
      <b/>
      <sz val="9"/>
      <name val="ＭＳ Ｐゴシック"/>
      <family val="3"/>
      <charset val="128"/>
    </font>
    <font>
      <sz val="8"/>
      <name val="ＭＳ Ｐゴシック"/>
      <family val="3"/>
      <charset val="128"/>
    </font>
    <font>
      <b/>
      <sz val="17"/>
      <name val="ＭＳ Ｐゴシック"/>
      <family val="3"/>
      <charset val="128"/>
    </font>
    <font>
      <b/>
      <sz val="12"/>
      <color indexed="8"/>
      <name val="ＭＳ Ｐ明朝"/>
      <family val="1"/>
      <charset val="128"/>
    </font>
    <font>
      <sz val="11"/>
      <color rgb="FF000000"/>
      <name val="ＭＳ Ｐ明朝"/>
      <family val="1"/>
      <charset val="128"/>
    </font>
    <font>
      <sz val="20"/>
      <color indexed="8"/>
      <name val="ＭＳ Ｐ明朝"/>
      <family val="1"/>
      <charset val="128"/>
    </font>
    <font>
      <sz val="9"/>
      <color indexed="81"/>
      <name val="MS P ゴシック"/>
      <family val="3"/>
      <charset val="128"/>
    </font>
    <font>
      <b/>
      <u/>
      <sz val="9"/>
      <color indexed="8"/>
      <name val="ＭＳ Ｐ明朝"/>
      <family val="1"/>
      <charset val="128"/>
    </font>
    <font>
      <sz val="18"/>
      <color theme="3"/>
      <name val="ＭＳ Ｐゴシック"/>
      <family val="2"/>
      <charset val="128"/>
      <scheme val="major"/>
    </font>
    <font>
      <b/>
      <u/>
      <sz val="20"/>
      <color indexed="8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Meiryo UI"/>
      <family val="3"/>
      <charset val="128"/>
    </font>
    <font>
      <b/>
      <i/>
      <sz val="16"/>
      <name val="Helv"/>
      <family val="2"/>
    </font>
    <font>
      <sz val="18"/>
      <color indexed="8"/>
      <name val="ＭＳ ゴシック"/>
      <family val="3"/>
      <charset val="128"/>
    </font>
    <font>
      <b/>
      <sz val="11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1"/>
      <color rgb="FF00B050"/>
      <name val="ＭＳ Ｐ明朝"/>
      <family val="1"/>
      <charset val="128"/>
    </font>
    <font>
      <b/>
      <sz val="14"/>
      <color indexed="10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8"/>
      <color indexed="8"/>
      <name val="ＭＳ Ｐゴシック"/>
      <family val="3"/>
      <charset val="128"/>
    </font>
    <font>
      <b/>
      <sz val="11"/>
      <color indexed="12"/>
      <name val="ＭＳ Ｐ明朝"/>
      <family val="1"/>
      <charset val="128"/>
    </font>
    <font>
      <sz val="10"/>
      <color rgb="FFFF0000"/>
      <name val="ＭＳ Ｐ明朝"/>
      <family val="1"/>
      <charset val="128"/>
    </font>
    <font>
      <sz val="10"/>
      <color indexed="12"/>
      <name val="ＭＳ Ｐ明朝"/>
      <family val="1"/>
      <charset val="128"/>
    </font>
    <font>
      <b/>
      <sz val="10"/>
      <color indexed="8"/>
      <name val="ＭＳ Ｐ明朝"/>
      <family val="1"/>
      <charset val="128"/>
    </font>
    <font>
      <sz val="9"/>
      <color rgb="FF0070C0"/>
      <name val="ＭＳ Ｐ明朝"/>
      <family val="1"/>
      <charset val="128"/>
    </font>
    <font>
      <sz val="10"/>
      <color rgb="FF7030A0"/>
      <name val="ＭＳ Ｐ明朝"/>
      <family val="1"/>
      <charset val="128"/>
    </font>
    <font>
      <b/>
      <sz val="10"/>
      <name val="ＭＳ Ｐ明朝"/>
      <family val="1"/>
      <charset val="128"/>
    </font>
    <font>
      <sz val="9"/>
      <color indexed="10"/>
      <name val="ＭＳ Ｐ明朝"/>
      <family val="1"/>
      <charset val="128"/>
    </font>
    <font>
      <sz val="9"/>
      <color rgb="FFFF0000"/>
      <name val="ＭＳ Ｐ明朝"/>
      <family val="1"/>
      <charset val="128"/>
    </font>
    <font>
      <sz val="8"/>
      <color rgb="FFFF0000"/>
      <name val="ＭＳ Ｐ明朝"/>
      <family val="1"/>
      <charset val="128"/>
    </font>
    <font>
      <b/>
      <sz val="9"/>
      <color indexed="8"/>
      <name val="ＭＳ Ｐ明朝"/>
      <family val="1"/>
      <charset val="128"/>
    </font>
    <font>
      <b/>
      <sz val="9"/>
      <name val="ＭＳ Ｐ明朝"/>
      <family val="1"/>
      <charset val="128"/>
    </font>
    <font>
      <sz val="10"/>
      <color rgb="FF0070C0"/>
      <name val="ＭＳ Ｐ明朝"/>
      <family val="1"/>
      <charset val="128"/>
    </font>
    <font>
      <b/>
      <sz val="12"/>
      <color rgb="FF0070C0"/>
      <name val="ＭＳ Ｐ明朝"/>
      <family val="1"/>
      <charset val="128"/>
    </font>
    <font>
      <b/>
      <sz val="11"/>
      <color rgb="FF0070C0"/>
      <name val="ＭＳ Ｐ明朝"/>
      <family val="1"/>
      <charset val="128"/>
    </font>
    <font>
      <b/>
      <sz val="10"/>
      <color rgb="FF0070C0"/>
      <name val="ＭＳ Ｐ明朝"/>
      <family val="1"/>
      <charset val="128"/>
    </font>
    <font>
      <sz val="10"/>
      <color theme="0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2"/>
      <color rgb="FFFF0000"/>
      <name val="ＭＳ Ｐ明朝"/>
      <family val="1"/>
      <charset val="128"/>
    </font>
    <font>
      <b/>
      <sz val="11"/>
      <color rgb="FFFF0000"/>
      <name val="ＭＳ Ｐ明朝"/>
      <family val="1"/>
      <charset val="128"/>
    </font>
    <font>
      <sz val="11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b/>
      <sz val="11"/>
      <color indexed="10"/>
      <name val="ＭＳ Ｐ明朝"/>
      <family val="1"/>
      <charset val="128"/>
    </font>
    <font>
      <sz val="10"/>
      <color indexed="9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b/>
      <sz val="10"/>
      <color indexed="10"/>
      <name val="ＭＳ Ｐ明朝"/>
      <family val="1"/>
      <charset val="128"/>
    </font>
    <font>
      <sz val="10"/>
      <color indexed="8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sz val="11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rgb="FF00B05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sz val="10"/>
      <color indexed="12"/>
      <name val="Meiryo UI"/>
      <family val="3"/>
      <charset val="128"/>
    </font>
    <font>
      <sz val="10"/>
      <name val="Meiryo UI"/>
      <family val="3"/>
      <charset val="128"/>
    </font>
    <font>
      <b/>
      <sz val="10"/>
      <color indexed="8"/>
      <name val="Meiryo UI"/>
      <family val="3"/>
      <charset val="128"/>
    </font>
    <font>
      <b/>
      <sz val="10"/>
      <name val="Meiryo UI"/>
      <family val="3"/>
      <charset val="128"/>
    </font>
    <font>
      <b/>
      <sz val="11"/>
      <color indexed="8"/>
      <name val="Meiryo UI"/>
      <family val="3"/>
      <charset val="128"/>
    </font>
    <font>
      <sz val="10"/>
      <color rgb="FF7030A0"/>
      <name val="Meiryo UI"/>
      <family val="3"/>
      <charset val="128"/>
    </font>
    <font>
      <sz val="9"/>
      <name val="Meiryo UI"/>
      <family val="3"/>
      <charset val="128"/>
    </font>
    <font>
      <sz val="9"/>
      <color indexed="8"/>
      <name val="Meiryo UI"/>
      <family val="3"/>
      <charset val="128"/>
    </font>
    <font>
      <sz val="9"/>
      <color indexed="1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indexed="8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b/>
      <sz val="11"/>
      <color indexed="10"/>
      <name val="Meiryo UI"/>
      <family val="3"/>
      <charset val="128"/>
    </font>
    <font>
      <b/>
      <sz val="11"/>
      <name val="Meiryo UI"/>
      <family val="3"/>
      <charset val="128"/>
    </font>
    <font>
      <sz val="10"/>
      <color indexed="9"/>
      <name val="Meiryo UI"/>
      <family val="3"/>
      <charset val="128"/>
    </font>
    <font>
      <sz val="9"/>
      <color rgb="FF7030A0"/>
      <name val="Meiryo UI"/>
      <family val="3"/>
      <charset val="128"/>
    </font>
    <font>
      <sz val="10"/>
      <color indexed="10"/>
      <name val="Meiryo UI"/>
      <family val="3"/>
      <charset val="128"/>
    </font>
    <font>
      <b/>
      <sz val="11"/>
      <color rgb="FF00B050"/>
      <name val="Meiryo UI"/>
      <family val="3"/>
      <charset val="128"/>
    </font>
    <font>
      <b/>
      <sz val="10"/>
      <color rgb="FF00B050"/>
      <name val="Meiryo UI"/>
      <family val="3"/>
      <charset val="128"/>
    </font>
    <font>
      <sz val="9"/>
      <color rgb="FF00B050"/>
      <name val="Meiryo UI"/>
      <family val="3"/>
      <charset val="128"/>
    </font>
    <font>
      <sz val="10"/>
      <color indexed="36"/>
      <name val="Meiryo UI"/>
      <family val="3"/>
      <charset val="128"/>
    </font>
    <font>
      <b/>
      <sz val="10"/>
      <color indexed="10"/>
      <name val="Meiryo UI"/>
      <family val="3"/>
      <charset val="128"/>
    </font>
    <font>
      <sz val="10"/>
      <color theme="0"/>
      <name val="Meiryo UI"/>
      <family val="3"/>
      <charset val="128"/>
    </font>
    <font>
      <sz val="8"/>
      <color rgb="FFFF0000"/>
      <name val="Meiryo UI"/>
      <family val="3"/>
      <charset val="128"/>
    </font>
    <font>
      <sz val="8"/>
      <color indexed="8"/>
      <name val="Meiryo UI"/>
      <family val="3"/>
      <charset val="128"/>
    </font>
    <font>
      <sz val="9"/>
      <color rgb="FF000000"/>
      <name val="MS P ゴシック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1"/>
      </patternFill>
    </fill>
    <fill>
      <patternFill patternType="gray125">
        <fgColor indexed="11"/>
      </patternFill>
    </fill>
    <fill>
      <patternFill patternType="solid">
        <fgColor indexed="42"/>
        <bgColor indexed="64"/>
      </patternFill>
    </fill>
    <fill>
      <patternFill patternType="gray125">
        <fgColor theme="0"/>
      </patternFill>
    </fill>
    <fill>
      <patternFill patternType="lightGray">
        <fgColor theme="0"/>
      </patternFill>
    </fill>
    <fill>
      <patternFill patternType="gray125">
        <fgColor theme="0" tint="-0.24994659260841701"/>
        <bgColor indexed="65"/>
      </patternFill>
    </fill>
    <fill>
      <patternFill patternType="solid">
        <fgColor rgb="FFCC66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0.39997558519241921"/>
        <bgColor indexed="64"/>
      </patternFill>
    </fill>
  </fills>
  <borders count="321">
    <border>
      <left/>
      <right/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hair">
        <color indexed="8"/>
      </bottom>
      <diagonal/>
    </border>
    <border>
      <left style="dotted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medium">
        <color indexed="8"/>
      </left>
      <right/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hair">
        <color indexed="8"/>
      </bottom>
      <diagonal/>
    </border>
    <border>
      <left/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8"/>
      </top>
      <bottom style="medium">
        <color indexed="8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hair">
        <color indexed="8"/>
      </bottom>
      <diagonal/>
    </border>
    <border>
      <left style="medium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/>
      <top/>
      <bottom style="hair">
        <color indexed="8"/>
      </bottom>
      <diagonal/>
    </border>
    <border>
      <left/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 style="dotted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otted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medium">
        <color indexed="64"/>
      </top>
      <bottom style="hair">
        <color indexed="64"/>
      </bottom>
      <diagonal/>
    </border>
    <border>
      <left style="dott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8"/>
      </top>
      <bottom style="hair">
        <color indexed="8"/>
      </bottom>
      <diagonal/>
    </border>
    <border>
      <left/>
      <right style="hair">
        <color indexed="64"/>
      </right>
      <top style="hair">
        <color indexed="8"/>
      </top>
      <bottom style="medium">
        <color indexed="8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8"/>
      </bottom>
      <diagonal/>
    </border>
    <border>
      <left style="hair">
        <color indexed="8"/>
      </left>
      <right/>
      <top style="medium">
        <color indexed="8"/>
      </top>
      <bottom style="hair">
        <color indexed="8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 style="hair">
        <color indexed="64"/>
      </top>
      <bottom/>
      <diagonal/>
    </border>
    <border>
      <left style="dotted">
        <color indexed="64"/>
      </left>
      <right/>
      <top style="hair">
        <color indexed="64"/>
      </top>
      <bottom/>
      <diagonal/>
    </border>
    <border>
      <left style="dotted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dotted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hair">
        <color indexed="8"/>
      </left>
      <right style="hair">
        <color indexed="8"/>
      </right>
      <top style="medium">
        <color indexed="8"/>
      </top>
      <bottom style="hair">
        <color indexed="64"/>
      </bottom>
      <diagonal/>
    </border>
    <border>
      <left style="medium">
        <color indexed="8"/>
      </left>
      <right/>
      <top/>
      <bottom/>
      <diagonal/>
    </border>
    <border>
      <left style="hair">
        <color indexed="8"/>
      </left>
      <right style="hair">
        <color indexed="8"/>
      </right>
      <top/>
      <bottom style="medium">
        <color indexed="64"/>
      </bottom>
      <diagonal/>
    </border>
    <border>
      <left style="hair">
        <color indexed="8"/>
      </left>
      <right/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medium">
        <color indexed="8"/>
      </top>
      <bottom style="hair">
        <color indexed="8"/>
      </bottom>
      <diagonal/>
    </border>
    <border>
      <left style="hair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hair">
        <color indexed="8"/>
      </right>
      <top style="hair">
        <color indexed="8"/>
      </top>
      <bottom style="medium">
        <color indexed="8"/>
      </bottom>
      <diagonal/>
    </border>
    <border>
      <left style="hair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8"/>
      </right>
      <top/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 style="medium">
        <color indexed="8"/>
      </left>
      <right/>
      <top style="hair">
        <color indexed="8"/>
      </top>
      <bottom style="thin">
        <color indexed="8"/>
      </bottom>
      <diagonal/>
    </border>
    <border>
      <left/>
      <right/>
      <top style="hair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 style="hair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hair">
        <color indexed="8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tted">
        <color indexed="64"/>
      </bottom>
      <diagonal/>
    </border>
    <border>
      <left style="hair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dott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dotted">
        <color indexed="64"/>
      </top>
      <bottom/>
      <diagonal/>
    </border>
    <border>
      <left style="hair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hair">
        <color indexed="64"/>
      </left>
      <right style="hair">
        <color indexed="64"/>
      </right>
      <top style="dashed">
        <color indexed="64"/>
      </top>
      <bottom/>
      <diagonal/>
    </border>
    <border>
      <left style="hair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Dashed">
        <color indexed="64"/>
      </top>
      <bottom style="dotted">
        <color indexed="64"/>
      </bottom>
      <diagonal/>
    </border>
    <border>
      <left/>
      <right/>
      <top style="mediumDashed">
        <color indexed="64"/>
      </top>
      <bottom style="dotted">
        <color indexed="64"/>
      </bottom>
      <diagonal/>
    </border>
    <border>
      <left/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hair">
        <color indexed="64"/>
      </right>
      <top style="mediumDashed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mediumDash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hair">
        <color indexed="64"/>
      </right>
      <top/>
      <bottom style="dotted">
        <color indexed="64"/>
      </bottom>
      <diagonal/>
    </border>
    <border>
      <left style="hair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8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</borders>
  <cellStyleXfs count="5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  <xf numFmtId="0" fontId="1" fillId="0" borderId="0">
      <alignment vertical="center"/>
    </xf>
  </cellStyleXfs>
  <cellXfs count="2976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177" fontId="3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top" textRotation="255" shrinkToFit="1"/>
    </xf>
    <xf numFmtId="0" fontId="3" fillId="0" borderId="0" xfId="0" applyFont="1" applyAlignment="1">
      <alignment vertical="center" shrinkToFit="1"/>
    </xf>
    <xf numFmtId="178" fontId="4" fillId="0" borderId="0" xfId="0" applyNumberFormat="1" applyFont="1" applyAlignment="1">
      <alignment vertical="center" shrinkToFit="1"/>
    </xf>
    <xf numFmtId="0" fontId="3" fillId="0" borderId="0" xfId="0" applyFont="1" applyBorder="1" applyAlignment="1">
      <alignment vertical="center" shrinkToFit="1"/>
    </xf>
    <xf numFmtId="0" fontId="4" fillId="0" borderId="0" xfId="0" applyFont="1" applyBorder="1" applyAlignment="1">
      <alignment vertical="top" textRotation="255" shrinkToFit="1"/>
    </xf>
    <xf numFmtId="0" fontId="5" fillId="0" borderId="0" xfId="0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/>
    </xf>
    <xf numFmtId="178" fontId="4" fillId="0" borderId="0" xfId="0" applyNumberFormat="1" applyFont="1" applyBorder="1" applyAlignment="1">
      <alignment vertical="center" shrinkToFit="1"/>
    </xf>
    <xf numFmtId="0" fontId="6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/>
    </xf>
    <xf numFmtId="0" fontId="5" fillId="0" borderId="0" xfId="0" applyFont="1" applyBorder="1" applyAlignment="1" applyProtection="1">
      <alignment vertical="center" wrapText="1"/>
    </xf>
    <xf numFmtId="0" fontId="5" fillId="0" borderId="0" xfId="0" applyFont="1" applyBorder="1" applyAlignment="1" applyProtection="1">
      <alignment horizontal="right" vertical="center"/>
    </xf>
    <xf numFmtId="177" fontId="5" fillId="0" borderId="0" xfId="0" applyNumberFormat="1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right" vertical="center"/>
    </xf>
    <xf numFmtId="0" fontId="17" fillId="0" borderId="0" xfId="0" applyFont="1" applyAlignment="1">
      <alignment vertical="center"/>
    </xf>
    <xf numFmtId="0" fontId="17" fillId="0" borderId="1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17" fillId="0" borderId="10" xfId="0" applyFont="1" applyBorder="1" applyAlignment="1">
      <alignment vertical="center"/>
    </xf>
    <xf numFmtId="179" fontId="17" fillId="0" borderId="0" xfId="0" applyNumberFormat="1" applyFont="1" applyAlignment="1">
      <alignment vertical="center"/>
    </xf>
    <xf numFmtId="0" fontId="3" fillId="2" borderId="11" xfId="0" applyFont="1" applyFill="1" applyBorder="1" applyAlignment="1">
      <alignment vertical="center"/>
    </xf>
    <xf numFmtId="0" fontId="3" fillId="0" borderId="0" xfId="0" applyFont="1" applyAlignment="1">
      <alignment horizontal="right" vertical="center" wrapText="1"/>
    </xf>
    <xf numFmtId="0" fontId="3" fillId="0" borderId="0" xfId="0" quotePrefix="1" applyFont="1" applyAlignment="1">
      <alignment horizontal="center" vertical="center"/>
    </xf>
    <xf numFmtId="177" fontId="3" fillId="0" borderId="0" xfId="0" applyNumberFormat="1" applyFont="1" applyAlignment="1">
      <alignment horizontal="right" vertical="center"/>
    </xf>
    <xf numFmtId="0" fontId="14" fillId="0" borderId="0" xfId="0" applyFont="1" applyAlignment="1" applyProtection="1">
      <alignment vertical="center"/>
      <protection locked="0"/>
    </xf>
    <xf numFmtId="178" fontId="4" fillId="0" borderId="0" xfId="0" applyNumberFormat="1" applyFont="1" applyAlignment="1" applyProtection="1">
      <alignment vertical="center" shrinkToFit="1"/>
      <protection locked="0"/>
    </xf>
    <xf numFmtId="0" fontId="3" fillId="0" borderId="0" xfId="0" applyFont="1" applyAlignment="1" applyProtection="1">
      <alignment vertical="center"/>
      <protection locked="0"/>
    </xf>
    <xf numFmtId="0" fontId="3" fillId="2" borderId="11" xfId="0" applyFont="1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3" borderId="12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2" borderId="14" xfId="0" applyFill="1" applyBorder="1" applyProtection="1">
      <protection locked="0"/>
    </xf>
    <xf numFmtId="0" fontId="0" fillId="2" borderId="15" xfId="0" applyFill="1" applyBorder="1" applyProtection="1">
      <protection locked="0"/>
    </xf>
    <xf numFmtId="0" fontId="10" fillId="4" borderId="0" xfId="0" applyFont="1" applyFill="1" applyProtection="1">
      <protection locked="0"/>
    </xf>
    <xf numFmtId="0" fontId="0" fillId="0" borderId="0" xfId="0" quotePrefix="1" applyProtection="1">
      <protection locked="0"/>
    </xf>
    <xf numFmtId="176" fontId="5" fillId="0" borderId="0" xfId="0" applyNumberFormat="1" applyFont="1" applyBorder="1" applyAlignment="1" applyProtection="1">
      <alignment vertical="center"/>
    </xf>
    <xf numFmtId="0" fontId="17" fillId="0" borderId="16" xfId="0" applyFont="1" applyBorder="1" applyAlignment="1" applyProtection="1">
      <alignment horizontal="center" vertical="center"/>
      <protection locked="0"/>
    </xf>
    <xf numFmtId="0" fontId="17" fillId="0" borderId="17" xfId="0" applyFont="1" applyBorder="1" applyAlignment="1" applyProtection="1">
      <alignment horizontal="center" vertical="center"/>
      <protection locked="0"/>
    </xf>
    <xf numFmtId="0" fontId="17" fillId="0" borderId="18" xfId="0" applyFont="1" applyBorder="1" applyAlignment="1" applyProtection="1">
      <alignment horizontal="center" vertical="center"/>
      <protection locked="0"/>
    </xf>
    <xf numFmtId="0" fontId="17" fillId="0" borderId="19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 applyProtection="1">
      <alignment vertical="center"/>
      <protection locked="0"/>
    </xf>
    <xf numFmtId="0" fontId="23" fillId="0" borderId="23" xfId="0" applyFont="1" applyBorder="1" applyAlignment="1">
      <alignment horizontal="center" shrinkToFit="1"/>
    </xf>
    <xf numFmtId="0" fontId="17" fillId="0" borderId="24" xfId="0" applyFont="1" applyBorder="1" applyAlignment="1" applyProtection="1">
      <alignment vertical="center"/>
      <protection locked="0"/>
    </xf>
    <xf numFmtId="0" fontId="17" fillId="0" borderId="25" xfId="0" applyFont="1" applyBorder="1" applyAlignment="1" applyProtection="1">
      <alignment vertical="center"/>
      <protection locked="0"/>
    </xf>
    <xf numFmtId="0" fontId="5" fillId="0" borderId="38" xfId="0" applyFont="1" applyBorder="1" applyAlignment="1" applyProtection="1">
      <alignment horizontal="center" vertical="center"/>
    </xf>
    <xf numFmtId="177" fontId="5" fillId="0" borderId="38" xfId="0" applyNumberFormat="1" applyFont="1" applyBorder="1" applyAlignment="1" applyProtection="1">
      <alignment horizontal="center" vertical="center" shrinkToFit="1"/>
    </xf>
    <xf numFmtId="0" fontId="5" fillId="0" borderId="38" xfId="0" applyFont="1" applyBorder="1" applyAlignment="1" applyProtection="1">
      <alignment horizontal="center" vertical="center" wrapText="1"/>
    </xf>
    <xf numFmtId="181" fontId="13" fillId="0" borderId="39" xfId="0" applyNumberFormat="1" applyFont="1" applyBorder="1" applyAlignment="1" applyProtection="1">
      <alignment horizontal="left" vertical="center"/>
      <protection locked="0"/>
    </xf>
    <xf numFmtId="0" fontId="13" fillId="0" borderId="39" xfId="0" applyFont="1" applyBorder="1" applyAlignment="1" applyProtection="1">
      <alignment vertical="center"/>
      <protection locked="0"/>
    </xf>
    <xf numFmtId="0" fontId="13" fillId="0" borderId="40" xfId="0" applyFont="1" applyBorder="1" applyAlignment="1" applyProtection="1">
      <alignment vertical="center"/>
      <protection locked="0"/>
    </xf>
    <xf numFmtId="0" fontId="17" fillId="0" borderId="41" xfId="0" applyFont="1" applyBorder="1" applyAlignment="1" applyProtection="1">
      <alignment vertical="center"/>
      <protection locked="0"/>
    </xf>
    <xf numFmtId="0" fontId="17" fillId="0" borderId="42" xfId="0" applyFont="1" applyBorder="1" applyAlignment="1" applyProtection="1">
      <alignment vertical="center"/>
      <protection locked="0"/>
    </xf>
    <xf numFmtId="0" fontId="17" fillId="0" borderId="43" xfId="0" applyFont="1" applyBorder="1" applyAlignment="1" applyProtection="1">
      <alignment vertical="center"/>
      <protection locked="0"/>
    </xf>
    <xf numFmtId="0" fontId="17" fillId="0" borderId="4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17" fillId="0" borderId="49" xfId="0" applyFont="1" applyBorder="1" applyAlignment="1">
      <alignment horizontal="center" vertical="center"/>
    </xf>
    <xf numFmtId="0" fontId="17" fillId="0" borderId="50" xfId="0" applyFont="1" applyBorder="1" applyAlignment="1">
      <alignment horizontal="center" vertical="center"/>
    </xf>
    <xf numFmtId="0" fontId="17" fillId="0" borderId="51" xfId="0" applyFont="1" applyBorder="1" applyAlignment="1" applyProtection="1">
      <alignment vertical="center"/>
      <protection locked="0"/>
    </xf>
    <xf numFmtId="0" fontId="17" fillId="0" borderId="52" xfId="0" applyFont="1" applyBorder="1" applyAlignment="1" applyProtection="1">
      <alignment vertical="center"/>
      <protection locked="0"/>
    </xf>
    <xf numFmtId="0" fontId="17" fillId="0" borderId="53" xfId="0" applyFont="1" applyBorder="1" applyAlignment="1" applyProtection="1">
      <alignment vertical="center"/>
      <protection locked="0"/>
    </xf>
    <xf numFmtId="177" fontId="5" fillId="0" borderId="0" xfId="0" applyNumberFormat="1" applyFont="1" applyBorder="1" applyAlignment="1" applyProtection="1">
      <alignment vertical="center" shrinkToFit="1"/>
      <protection locked="0"/>
    </xf>
    <xf numFmtId="0" fontId="23" fillId="0" borderId="0" xfId="0" applyFont="1" applyAlignment="1">
      <alignment shrinkToFit="1"/>
    </xf>
    <xf numFmtId="0" fontId="3" fillId="0" borderId="0" xfId="0" applyFont="1" applyAlignment="1" applyProtection="1">
      <alignment vertical="center"/>
    </xf>
    <xf numFmtId="177" fontId="8" fillId="0" borderId="63" xfId="0" applyNumberFormat="1" applyFont="1" applyBorder="1" applyAlignment="1" applyProtection="1">
      <alignment horizontal="right" vertical="top" shrinkToFit="1"/>
    </xf>
    <xf numFmtId="178" fontId="17" fillId="0" borderId="67" xfId="0" applyNumberFormat="1" applyFont="1" applyBorder="1" applyAlignment="1" applyProtection="1">
      <alignment horizontal="center" vertical="center"/>
      <protection locked="0"/>
    </xf>
    <xf numFmtId="178" fontId="17" fillId="0" borderId="41" xfId="0" applyNumberFormat="1" applyFont="1" applyBorder="1" applyAlignment="1" applyProtection="1">
      <alignment horizontal="center" vertical="center"/>
      <protection locked="0"/>
    </xf>
    <xf numFmtId="178" fontId="17" fillId="0" borderId="68" xfId="0" applyNumberFormat="1" applyFont="1" applyBorder="1" applyAlignment="1" applyProtection="1">
      <alignment horizontal="center" vertical="center"/>
      <protection locked="0"/>
    </xf>
    <xf numFmtId="178" fontId="17" fillId="0" borderId="42" xfId="0" applyNumberFormat="1" applyFont="1" applyBorder="1" applyAlignment="1" applyProtection="1">
      <alignment horizontal="center" vertical="center"/>
      <protection locked="0"/>
    </xf>
    <xf numFmtId="178" fontId="17" fillId="0" borderId="69" xfId="0" applyNumberFormat="1" applyFont="1" applyBorder="1" applyAlignment="1" applyProtection="1">
      <alignment horizontal="center" vertical="center"/>
      <protection locked="0"/>
    </xf>
    <xf numFmtId="178" fontId="17" fillId="0" borderId="43" xfId="0" applyNumberFormat="1" applyFont="1" applyBorder="1" applyAlignment="1" applyProtection="1">
      <alignment horizontal="center" vertical="center"/>
      <protection locked="0"/>
    </xf>
    <xf numFmtId="38" fontId="8" fillId="0" borderId="63" xfId="0" applyNumberFormat="1" applyFont="1" applyBorder="1" applyAlignment="1" applyProtection="1">
      <alignment horizontal="right" vertical="top"/>
      <protection locked="0"/>
    </xf>
    <xf numFmtId="38" fontId="8" fillId="0" borderId="63" xfId="0" applyNumberFormat="1" applyFont="1" applyBorder="1" applyAlignment="1" applyProtection="1">
      <alignment horizontal="right" vertical="top" shrinkToFit="1"/>
      <protection locked="0"/>
    </xf>
    <xf numFmtId="0" fontId="13" fillId="0" borderId="70" xfId="0" applyFont="1" applyBorder="1" applyAlignment="1" applyProtection="1">
      <alignment vertical="center"/>
      <protection locked="0"/>
    </xf>
    <xf numFmtId="0" fontId="23" fillId="0" borderId="0" xfId="0" applyNumberFormat="1" applyFont="1" applyAlignment="1">
      <alignment shrinkToFit="1"/>
    </xf>
    <xf numFmtId="177" fontId="5" fillId="5" borderId="71" xfId="0" applyNumberFormat="1" applyFont="1" applyFill="1" applyBorder="1" applyAlignment="1" applyProtection="1">
      <alignment vertical="center" shrinkToFit="1"/>
    </xf>
    <xf numFmtId="0" fontId="3" fillId="0" borderId="0" xfId="0" applyNumberFormat="1" applyFont="1" applyAlignment="1">
      <alignment vertical="center"/>
    </xf>
    <xf numFmtId="0" fontId="13" fillId="0" borderId="72" xfId="0" applyFont="1" applyBorder="1" applyAlignment="1" applyProtection="1">
      <alignment vertical="center"/>
      <protection locked="0"/>
    </xf>
    <xf numFmtId="0" fontId="13" fillId="0" borderId="63" xfId="0" applyFont="1" applyBorder="1" applyAlignment="1" applyProtection="1">
      <alignment vertical="center" wrapText="1"/>
      <protection locked="0"/>
    </xf>
    <xf numFmtId="0" fontId="13" fillId="0" borderId="63" xfId="0" applyFont="1" applyBorder="1" applyAlignment="1" applyProtection="1">
      <alignment horizontal="center" vertical="center"/>
      <protection locked="0"/>
    </xf>
    <xf numFmtId="0" fontId="13" fillId="0" borderId="73" xfId="0" applyFont="1" applyBorder="1" applyAlignment="1" applyProtection="1">
      <alignment vertical="center" wrapText="1"/>
      <protection locked="0"/>
    </xf>
    <xf numFmtId="0" fontId="13" fillId="0" borderId="73" xfId="0" applyFont="1" applyBorder="1" applyAlignment="1" applyProtection="1">
      <alignment vertical="center"/>
      <protection locked="0"/>
    </xf>
    <xf numFmtId="177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Font="1" applyBorder="1" applyAlignment="1" applyProtection="1">
      <alignment horizontal="right" vertical="center"/>
      <protection locked="0"/>
    </xf>
    <xf numFmtId="0" fontId="13" fillId="0" borderId="75" xfId="0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wrapText="1"/>
      <protection locked="0"/>
    </xf>
    <xf numFmtId="177" fontId="13" fillId="0" borderId="76" xfId="0" applyNumberFormat="1" applyFont="1" applyBorder="1" applyAlignment="1" applyProtection="1">
      <alignment vertical="center" shrinkToFit="1"/>
      <protection locked="0"/>
    </xf>
    <xf numFmtId="0" fontId="12" fillId="0" borderId="65" xfId="0" applyFont="1" applyBorder="1" applyAlignment="1" applyProtection="1">
      <alignment horizontal="centerContinuous" vertical="center"/>
    </xf>
    <xf numFmtId="0" fontId="12" fillId="0" borderId="38" xfId="0" applyFont="1" applyBorder="1" applyAlignment="1" applyProtection="1">
      <alignment horizontal="center" vertical="center" wrapText="1"/>
    </xf>
    <xf numFmtId="0" fontId="12" fillId="0" borderId="38" xfId="0" applyFont="1" applyBorder="1" applyAlignment="1" applyProtection="1">
      <alignment horizontal="center" vertical="center"/>
    </xf>
    <xf numFmtId="177" fontId="12" fillId="0" borderId="38" xfId="0" applyNumberFormat="1" applyFont="1" applyBorder="1" applyAlignment="1" applyProtection="1">
      <alignment horizontal="center" vertical="center" shrinkToFit="1"/>
    </xf>
    <xf numFmtId="0" fontId="12" fillId="0" borderId="64" xfId="0" applyFont="1" applyBorder="1" applyAlignment="1" applyProtection="1">
      <alignment horizontal="centerContinuous" vertical="center"/>
    </xf>
    <xf numFmtId="0" fontId="11" fillId="0" borderId="77" xfId="0" applyFont="1" applyBorder="1" applyAlignment="1" applyProtection="1">
      <alignment vertical="center"/>
    </xf>
    <xf numFmtId="0" fontId="13" fillId="0" borderId="72" xfId="0" applyFont="1" applyBorder="1" applyAlignment="1" applyProtection="1">
      <alignment vertical="center"/>
    </xf>
    <xf numFmtId="0" fontId="13" fillId="0" borderId="63" xfId="0" applyFont="1" applyBorder="1" applyAlignment="1" applyProtection="1">
      <alignment horizontal="center" vertical="center"/>
    </xf>
    <xf numFmtId="0" fontId="13" fillId="0" borderId="73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center" vertical="center" shrinkToFit="1"/>
      <protection locked="0"/>
    </xf>
    <xf numFmtId="0" fontId="13" fillId="0" borderId="39" xfId="0" quotePrefix="1" applyFont="1" applyBorder="1" applyAlignment="1" applyProtection="1">
      <alignment vertical="center"/>
      <protection locked="0"/>
    </xf>
    <xf numFmtId="0" fontId="13" fillId="0" borderId="76" xfId="0" applyFont="1" applyBorder="1" applyAlignment="1" applyProtection="1">
      <alignment vertical="center" shrinkToFit="1"/>
      <protection locked="0"/>
    </xf>
    <xf numFmtId="0" fontId="13" fillId="0" borderId="76" xfId="0" applyFont="1" applyBorder="1" applyAlignment="1" applyProtection="1">
      <alignment horizontal="center" vertical="center" shrinkToFit="1"/>
      <protection locked="0"/>
    </xf>
    <xf numFmtId="0" fontId="13" fillId="0" borderId="78" xfId="0" applyFont="1" applyBorder="1" applyAlignment="1" applyProtection="1">
      <alignment vertical="center"/>
      <protection locked="0"/>
    </xf>
    <xf numFmtId="0" fontId="4" fillId="0" borderId="0" xfId="0" applyFont="1" applyAlignment="1">
      <alignment horizontal="right" vertical="center" wrapText="1"/>
    </xf>
    <xf numFmtId="0" fontId="4" fillId="0" borderId="0" xfId="0" applyFont="1" applyAlignment="1">
      <alignment vertical="center"/>
    </xf>
    <xf numFmtId="0" fontId="4" fillId="0" borderId="0" xfId="0" quotePrefix="1" applyFont="1" applyAlignment="1">
      <alignment horizontal="center" vertical="center"/>
    </xf>
    <xf numFmtId="177" fontId="4" fillId="0" borderId="0" xfId="0" applyNumberFormat="1" applyFont="1" applyAlignment="1">
      <alignment vertical="center" shrinkToFit="1"/>
    </xf>
    <xf numFmtId="180" fontId="13" fillId="0" borderId="74" xfId="0" applyNumberFormat="1" applyFont="1" applyBorder="1" applyAlignment="1" applyProtection="1">
      <alignment horizontal="right" vertical="center" shrinkToFit="1"/>
      <protection locked="0"/>
    </xf>
    <xf numFmtId="0" fontId="13" fillId="0" borderId="39" xfId="0" applyFont="1" applyBorder="1" applyAlignment="1" applyProtection="1">
      <alignment vertical="center" shrinkToFit="1"/>
      <protection locked="0"/>
    </xf>
    <xf numFmtId="0" fontId="13" fillId="0" borderId="73" xfId="0" applyFont="1" applyBorder="1" applyAlignment="1" applyProtection="1">
      <alignment horizontal="right" vertical="center" shrinkToFit="1"/>
      <protection locked="0"/>
    </xf>
    <xf numFmtId="38" fontId="13" fillId="0" borderId="76" xfId="0" applyNumberFormat="1" applyFont="1" applyBorder="1" applyAlignment="1" applyProtection="1">
      <alignment horizontal="right" vertical="center" shrinkToFit="1"/>
      <protection locked="0"/>
    </xf>
    <xf numFmtId="182" fontId="11" fillId="0" borderId="77" xfId="0" applyNumberFormat="1" applyFont="1" applyBorder="1" applyAlignment="1" applyProtection="1">
      <alignment vertical="center"/>
      <protection locked="0"/>
    </xf>
    <xf numFmtId="0" fontId="13" fillId="0" borderId="72" xfId="0" applyFont="1" applyBorder="1" applyAlignment="1" applyProtection="1">
      <alignment vertical="center" shrinkToFit="1"/>
      <protection locked="0"/>
    </xf>
    <xf numFmtId="0" fontId="13" fillId="0" borderId="63" xfId="0" applyFont="1" applyBorder="1" applyAlignment="1" applyProtection="1">
      <alignment vertical="center" shrinkToFit="1"/>
      <protection locked="0"/>
    </xf>
    <xf numFmtId="38" fontId="13" fillId="0" borderId="73" xfId="0" applyNumberFormat="1" applyFont="1" applyBorder="1" applyAlignment="1" applyProtection="1">
      <alignment horizontal="right" vertical="center" shrinkToFit="1"/>
      <protection locked="0"/>
    </xf>
    <xf numFmtId="0" fontId="13" fillId="0" borderId="63" xfId="0" applyFont="1" applyBorder="1" applyAlignment="1" applyProtection="1">
      <alignment horizontal="center" vertical="center" shrinkToFit="1"/>
      <protection locked="0"/>
    </xf>
    <xf numFmtId="38" fontId="13" fillId="0" borderId="73" xfId="0" applyNumberFormat="1" applyFont="1" applyBorder="1" applyAlignment="1" applyProtection="1">
      <alignment vertical="center" shrinkToFit="1"/>
      <protection locked="0"/>
    </xf>
    <xf numFmtId="0" fontId="13" fillId="0" borderId="74" xfId="0" applyNumberFormat="1" applyFont="1" applyBorder="1" applyAlignment="1" applyProtection="1">
      <alignment horizontal="right" vertical="center"/>
      <protection locked="0"/>
    </xf>
    <xf numFmtId="0" fontId="10" fillId="0" borderId="0" xfId="0" applyFont="1" applyAlignment="1">
      <alignment shrinkToFit="1"/>
    </xf>
    <xf numFmtId="0" fontId="1" fillId="4" borderId="0" xfId="0" applyFont="1" applyFill="1" applyProtection="1">
      <protection locked="0"/>
    </xf>
    <xf numFmtId="0" fontId="1" fillId="6" borderId="0" xfId="0" applyFont="1" applyFill="1" applyProtection="1"/>
    <xf numFmtId="0" fontId="18" fillId="6" borderId="0" xfId="0" applyFont="1" applyFill="1" applyProtection="1"/>
    <xf numFmtId="0" fontId="0" fillId="0" borderId="0" xfId="0" applyProtection="1"/>
    <xf numFmtId="0" fontId="26" fillId="4" borderId="0" xfId="0" applyFont="1" applyFill="1" applyProtection="1">
      <protection locked="0"/>
    </xf>
    <xf numFmtId="0" fontId="26" fillId="3" borderId="12" xfId="0" applyFont="1" applyFill="1" applyBorder="1" applyProtection="1">
      <protection locked="0"/>
    </xf>
    <xf numFmtId="0" fontId="26" fillId="3" borderId="13" xfId="0" applyFont="1" applyFill="1" applyBorder="1" applyProtection="1">
      <protection locked="0"/>
    </xf>
    <xf numFmtId="0" fontId="27" fillId="0" borderId="0" xfId="0" applyFont="1" applyAlignment="1">
      <alignment vertical="center"/>
    </xf>
    <xf numFmtId="0" fontId="26" fillId="0" borderId="0" xfId="0" applyFont="1" applyProtection="1">
      <protection locked="0"/>
    </xf>
    <xf numFmtId="0" fontId="19" fillId="3" borderId="0" xfId="0" applyFont="1" applyFill="1" applyProtection="1">
      <protection locked="0"/>
    </xf>
    <xf numFmtId="0" fontId="23" fillId="0" borderId="23" xfId="0" applyFont="1" applyBorder="1" applyAlignment="1">
      <alignment shrinkToFit="1"/>
    </xf>
    <xf numFmtId="0" fontId="0" fillId="0" borderId="0" xfId="0" applyFill="1"/>
    <xf numFmtId="0" fontId="0" fillId="0" borderId="0" xfId="0" quotePrefix="1" applyFill="1"/>
    <xf numFmtId="0" fontId="0" fillId="0" borderId="0" xfId="0" applyFill="1" applyProtection="1">
      <protection locked="0"/>
    </xf>
    <xf numFmtId="10" fontId="0" fillId="0" borderId="0" xfId="0" applyNumberFormat="1" applyFill="1"/>
    <xf numFmtId="0" fontId="0" fillId="0" borderId="0" xfId="0" applyAlignment="1" applyProtection="1">
      <alignment horizontal="right"/>
      <protection locked="0"/>
    </xf>
    <xf numFmtId="0" fontId="3" fillId="0" borderId="11" xfId="0" applyFont="1" applyBorder="1" applyAlignment="1">
      <alignment horizontal="center" vertical="center"/>
    </xf>
    <xf numFmtId="0" fontId="28" fillId="0" borderId="11" xfId="0" applyFont="1" applyBorder="1" applyAlignment="1">
      <alignment vertical="center"/>
    </xf>
    <xf numFmtId="0" fontId="3" fillId="0" borderId="79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/>
      <protection locked="0"/>
    </xf>
    <xf numFmtId="0" fontId="3" fillId="0" borderId="80" xfId="0" applyFont="1" applyBorder="1" applyAlignment="1" applyProtection="1">
      <alignment vertical="center"/>
      <protection locked="0"/>
    </xf>
    <xf numFmtId="0" fontId="28" fillId="0" borderId="79" xfId="0" applyFont="1" applyBorder="1" applyAlignment="1">
      <alignment vertical="center" wrapText="1"/>
    </xf>
    <xf numFmtId="0" fontId="23" fillId="0" borderId="0" xfId="0" applyFont="1" applyBorder="1" applyAlignment="1">
      <alignment shrinkToFit="1"/>
    </xf>
    <xf numFmtId="0" fontId="29" fillId="0" borderId="0" xfId="0" applyFont="1" applyAlignment="1">
      <alignment vertical="center"/>
    </xf>
    <xf numFmtId="0" fontId="23" fillId="0" borderId="52" xfId="0" applyFont="1" applyBorder="1" applyAlignment="1">
      <alignment horizontal="center" shrinkToFit="1"/>
    </xf>
    <xf numFmtId="0" fontId="23" fillId="0" borderId="52" xfId="0" applyFont="1" applyBorder="1" applyAlignment="1">
      <alignment shrinkToFit="1"/>
    </xf>
    <xf numFmtId="0" fontId="23" fillId="0" borderId="24" xfId="0" applyFont="1" applyBorder="1" applyAlignment="1">
      <alignment horizontal="center" shrinkToFit="1"/>
    </xf>
    <xf numFmtId="0" fontId="23" fillId="0" borderId="31" xfId="0" applyFont="1" applyBorder="1" applyAlignment="1">
      <alignment horizontal="center" shrinkToFit="1"/>
    </xf>
    <xf numFmtId="0" fontId="23" fillId="0" borderId="24" xfId="0" applyFont="1" applyBorder="1" applyAlignment="1">
      <alignment shrinkToFit="1"/>
    </xf>
    <xf numFmtId="0" fontId="23" fillId="0" borderId="81" xfId="0" applyFont="1" applyBorder="1" applyAlignment="1">
      <alignment shrinkToFit="1"/>
    </xf>
    <xf numFmtId="0" fontId="23" fillId="0" borderId="82" xfId="0" applyFont="1" applyBorder="1" applyAlignment="1">
      <alignment shrinkToFit="1"/>
    </xf>
    <xf numFmtId="0" fontId="23" fillId="0" borderId="83" xfId="0" applyFont="1" applyBorder="1" applyAlignment="1">
      <alignment shrinkToFit="1"/>
    </xf>
    <xf numFmtId="0" fontId="23" fillId="0" borderId="0" xfId="0" applyFont="1" applyBorder="1" applyAlignment="1">
      <alignment vertical="center" shrinkToFit="1"/>
    </xf>
    <xf numFmtId="0" fontId="23" fillId="0" borderId="84" xfId="0" applyFont="1" applyBorder="1" applyAlignment="1">
      <alignment vertical="center" shrinkToFit="1"/>
    </xf>
    <xf numFmtId="0" fontId="23" fillId="0" borderId="85" xfId="0" applyFont="1" applyBorder="1" applyAlignment="1">
      <alignment vertical="center" shrinkToFit="1"/>
    </xf>
    <xf numFmtId="0" fontId="23" fillId="0" borderId="0" xfId="0" applyFont="1" applyAlignment="1">
      <alignment vertical="center" shrinkToFit="1"/>
    </xf>
    <xf numFmtId="0" fontId="25" fillId="0" borderId="86" xfId="0" applyFont="1" applyBorder="1" applyAlignment="1">
      <alignment vertical="center" shrinkToFit="1"/>
    </xf>
    <xf numFmtId="0" fontId="1" fillId="0" borderId="0" xfId="0" applyFont="1" applyAlignment="1"/>
    <xf numFmtId="0" fontId="1" fillId="0" borderId="87" xfId="0" applyFont="1" applyFill="1" applyBorder="1" applyAlignment="1"/>
    <xf numFmtId="0" fontId="23" fillId="0" borderId="88" xfId="0" applyFont="1" applyBorder="1" applyAlignment="1">
      <alignment shrinkToFit="1"/>
    </xf>
    <xf numFmtId="0" fontId="23" fillId="0" borderId="89" xfId="0" applyFont="1" applyBorder="1" applyAlignment="1">
      <alignment shrinkToFit="1"/>
    </xf>
    <xf numFmtId="0" fontId="23" fillId="0" borderId="24" xfId="0" applyFont="1" applyBorder="1" applyAlignment="1">
      <alignment vertical="center" shrinkToFit="1"/>
    </xf>
    <xf numFmtId="0" fontId="23" fillId="0" borderId="23" xfId="0" applyFont="1" applyBorder="1" applyAlignment="1">
      <alignment vertical="center" shrinkToFit="1"/>
    </xf>
    <xf numFmtId="0" fontId="25" fillId="0" borderId="52" xfId="0" applyFont="1" applyBorder="1" applyAlignment="1">
      <alignment vertical="center" shrinkToFit="1"/>
    </xf>
    <xf numFmtId="0" fontId="23" fillId="0" borderId="81" xfId="0" applyNumberFormat="1" applyFont="1" applyBorder="1" applyAlignment="1">
      <alignment shrinkToFit="1"/>
    </xf>
    <xf numFmtId="0" fontId="23" fillId="0" borderId="24" xfId="0" applyNumberFormat="1" applyFont="1" applyBorder="1" applyAlignment="1">
      <alignment shrinkToFit="1"/>
    </xf>
    <xf numFmtId="0" fontId="25" fillId="0" borderId="93" xfId="0" applyFont="1" applyBorder="1" applyAlignment="1">
      <alignment shrinkToFit="1"/>
    </xf>
    <xf numFmtId="0" fontId="23" fillId="0" borderId="94" xfId="0" applyFont="1" applyBorder="1" applyAlignment="1">
      <alignment vertical="center" shrinkToFit="1"/>
    </xf>
    <xf numFmtId="0" fontId="23" fillId="0" borderId="95" xfId="0" applyFont="1" applyBorder="1" applyAlignment="1">
      <alignment vertical="center" shrinkToFit="1"/>
    </xf>
    <xf numFmtId="0" fontId="25" fillId="0" borderId="96" xfId="0" applyFont="1" applyBorder="1" applyAlignment="1">
      <alignment vertical="center" shrinkToFit="1"/>
    </xf>
    <xf numFmtId="0" fontId="29" fillId="0" borderId="39" xfId="0" applyFont="1" applyBorder="1" applyAlignment="1" applyProtection="1">
      <alignment vertical="center" shrinkToFit="1"/>
      <protection locked="0"/>
    </xf>
    <xf numFmtId="183" fontId="23" fillId="0" borderId="94" xfId="0" quotePrefix="1" applyNumberFormat="1" applyFont="1" applyBorder="1" applyAlignment="1">
      <alignment vertical="center" shrinkToFit="1"/>
    </xf>
    <xf numFmtId="183" fontId="23" fillId="0" borderId="24" xfId="0" quotePrefix="1" applyNumberFormat="1" applyFont="1" applyBorder="1" applyAlignment="1">
      <alignment vertical="center" shrinkToFit="1"/>
    </xf>
    <xf numFmtId="183" fontId="23" fillId="0" borderId="88" xfId="0" applyNumberFormat="1" applyFont="1" applyBorder="1" applyAlignment="1">
      <alignment shrinkToFit="1"/>
    </xf>
    <xf numFmtId="0" fontId="13" fillId="0" borderId="74" xfId="0" applyFont="1" applyBorder="1" applyAlignment="1" applyProtection="1">
      <alignment vertical="center"/>
      <protection locked="0"/>
    </xf>
    <xf numFmtId="177" fontId="13" fillId="0" borderId="39" xfId="0" applyNumberFormat="1" applyFont="1" applyBorder="1" applyAlignment="1" applyProtection="1">
      <alignment vertical="center"/>
      <protection locked="0"/>
    </xf>
    <xf numFmtId="184" fontId="23" fillId="0" borderId="84" xfId="0" applyNumberFormat="1" applyFont="1" applyBorder="1" applyAlignment="1">
      <alignment vertical="center" shrinkToFit="1"/>
    </xf>
    <xf numFmtId="184" fontId="23" fillId="0" borderId="85" xfId="0" applyNumberFormat="1" applyFont="1" applyBorder="1" applyAlignment="1">
      <alignment vertical="center" shrinkToFit="1"/>
    </xf>
    <xf numFmtId="184" fontId="23" fillId="0" borderId="98" xfId="0" applyNumberFormat="1" applyFont="1" applyBorder="1" applyAlignment="1">
      <alignment vertical="center" shrinkToFit="1"/>
    </xf>
    <xf numFmtId="185" fontId="23" fillId="0" borderId="94" xfId="0" applyNumberFormat="1" applyFont="1" applyBorder="1" applyAlignment="1">
      <alignment vertical="center" shrinkToFit="1"/>
    </xf>
    <xf numFmtId="185" fontId="23" fillId="0" borderId="95" xfId="0" applyNumberFormat="1" applyFont="1" applyBorder="1" applyAlignment="1">
      <alignment vertical="center" shrinkToFit="1"/>
    </xf>
    <xf numFmtId="185" fontId="23" fillId="0" borderId="99" xfId="0" applyNumberFormat="1" applyFont="1" applyBorder="1" applyAlignment="1">
      <alignment vertical="center" shrinkToFit="1"/>
    </xf>
    <xf numFmtId="185" fontId="23" fillId="0" borderId="24" xfId="0" applyNumberFormat="1" applyFont="1" applyBorder="1" applyAlignment="1">
      <alignment vertical="center" shrinkToFit="1"/>
    </xf>
    <xf numFmtId="185" fontId="23" fillId="0" borderId="23" xfId="0" applyNumberFormat="1" applyFont="1" applyBorder="1" applyAlignment="1">
      <alignment vertical="center" shrinkToFit="1"/>
    </xf>
    <xf numFmtId="185" fontId="23" fillId="0" borderId="31" xfId="0" applyNumberFormat="1" applyFont="1" applyBorder="1" applyAlignment="1">
      <alignment vertical="center" shrinkToFit="1"/>
    </xf>
    <xf numFmtId="185" fontId="23" fillId="0" borderId="88" xfId="0" applyNumberFormat="1" applyFont="1" applyBorder="1" applyAlignment="1">
      <alignment shrinkToFit="1"/>
    </xf>
    <xf numFmtId="185" fontId="23" fillId="0" borderId="89" xfId="0" applyNumberFormat="1" applyFont="1" applyBorder="1" applyAlignment="1">
      <alignment shrinkToFit="1"/>
    </xf>
    <xf numFmtId="185" fontId="23" fillId="0" borderId="100" xfId="0" applyNumberFormat="1" applyFont="1" applyBorder="1" applyAlignment="1">
      <alignment shrinkToFit="1"/>
    </xf>
    <xf numFmtId="0" fontId="3" fillId="0" borderId="23" xfId="0" applyFont="1" applyBorder="1" applyAlignment="1">
      <alignment vertical="center"/>
    </xf>
    <xf numFmtId="0" fontId="3" fillId="0" borderId="82" xfId="0" applyFont="1" applyBorder="1" applyAlignment="1">
      <alignment vertical="center"/>
    </xf>
    <xf numFmtId="179" fontId="13" fillId="7" borderId="76" xfId="0" applyNumberFormat="1" applyFont="1" applyFill="1" applyBorder="1" applyAlignment="1" applyProtection="1">
      <alignment vertical="center" shrinkToFit="1"/>
      <protection locked="0"/>
    </xf>
    <xf numFmtId="21" fontId="13" fillId="0" borderId="73" xfId="0" applyNumberFormat="1" applyFont="1" applyBorder="1" applyAlignment="1" applyProtection="1">
      <alignment vertical="center" wrapText="1"/>
      <protection locked="0"/>
    </xf>
    <xf numFmtId="179" fontId="13" fillId="7" borderId="72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 shrinkToFit="1"/>
      <protection locked="0"/>
    </xf>
    <xf numFmtId="179" fontId="13" fillId="7" borderId="63" xfId="0" applyNumberFormat="1" applyFont="1" applyFill="1" applyBorder="1" applyAlignment="1" applyProtection="1">
      <alignment vertical="center"/>
      <protection locked="0"/>
    </xf>
    <xf numFmtId="179" fontId="13" fillId="7" borderId="63" xfId="0" applyNumberFormat="1" applyFont="1" applyFill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/>
    </xf>
    <xf numFmtId="179" fontId="23" fillId="0" borderId="0" xfId="0" applyNumberFormat="1" applyFont="1" applyAlignment="1">
      <alignment vertical="center"/>
    </xf>
    <xf numFmtId="9" fontId="10" fillId="8" borderId="0" xfId="0" applyNumberFormat="1" applyFont="1" applyFill="1" applyAlignment="1">
      <alignment horizontal="center" vertical="center"/>
    </xf>
    <xf numFmtId="21" fontId="13" fillId="0" borderId="73" xfId="0" quotePrefix="1" applyNumberFormat="1" applyFont="1" applyBorder="1" applyAlignment="1" applyProtection="1">
      <alignment vertical="center" wrapText="1"/>
      <protection locked="0"/>
    </xf>
    <xf numFmtId="0" fontId="0" fillId="3" borderId="0" xfId="0" applyFill="1" applyAlignment="1" applyProtection="1">
      <protection locked="0"/>
    </xf>
    <xf numFmtId="0" fontId="28" fillId="0" borderId="14" xfId="0" applyFont="1" applyBorder="1" applyAlignment="1">
      <alignment vertical="center" wrapText="1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 applyAlignment="1">
      <alignment vertical="center" wrapText="1"/>
    </xf>
    <xf numFmtId="0" fontId="3" fillId="0" borderId="0" xfId="0" applyFont="1" applyBorder="1" applyAlignment="1" applyProtection="1">
      <alignment vertical="center"/>
      <protection locked="0"/>
    </xf>
    <xf numFmtId="0" fontId="22" fillId="0" borderId="0" xfId="0" applyFont="1" applyBorder="1" applyAlignment="1">
      <alignment horizontal="center" vertical="center"/>
    </xf>
    <xf numFmtId="0" fontId="3" fillId="0" borderId="79" xfId="0" applyFont="1" applyBorder="1" applyAlignment="1" applyProtection="1">
      <alignment vertical="center" shrinkToFit="1"/>
      <protection locked="0"/>
    </xf>
    <xf numFmtId="0" fontId="3" fillId="0" borderId="80" xfId="0" applyFont="1" applyBorder="1" applyAlignment="1" applyProtection="1">
      <alignment vertical="center" shrinkToFit="1"/>
      <protection locked="0"/>
    </xf>
    <xf numFmtId="0" fontId="3" fillId="0" borderId="11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3" fillId="0" borderId="80" xfId="0" applyFont="1" applyBorder="1" applyAlignment="1">
      <alignment vertical="center" shrinkToFit="1"/>
    </xf>
    <xf numFmtId="0" fontId="3" fillId="0" borderId="79" xfId="0" applyFont="1" applyBorder="1" applyAlignment="1">
      <alignment vertical="center" shrinkToFit="1"/>
    </xf>
    <xf numFmtId="0" fontId="23" fillId="0" borderId="94" xfId="0" applyFont="1" applyBorder="1" applyAlignment="1">
      <alignment shrinkToFit="1"/>
    </xf>
    <xf numFmtId="0" fontId="23" fillId="0" borderId="95" xfId="0" applyFont="1" applyBorder="1" applyAlignment="1">
      <alignment shrinkToFit="1"/>
    </xf>
    <xf numFmtId="0" fontId="23" fillId="0" borderId="96" xfId="0" applyFont="1" applyBorder="1" applyAlignment="1">
      <alignment shrinkToFit="1"/>
    </xf>
    <xf numFmtId="178" fontId="4" fillId="7" borderId="0" xfId="0" applyNumberFormat="1" applyFont="1" applyFill="1" applyAlignment="1" applyProtection="1">
      <alignment vertical="center" shrinkToFit="1"/>
      <protection locked="0"/>
    </xf>
    <xf numFmtId="0" fontId="21" fillId="0" borderId="0" xfId="0" applyFont="1" applyAlignment="1" applyProtection="1">
      <alignment horizontal="right" vertical="center"/>
      <protection locked="0"/>
    </xf>
    <xf numFmtId="9" fontId="23" fillId="0" borderId="0" xfId="0" applyNumberFormat="1" applyFont="1" applyFill="1" applyAlignment="1">
      <alignment horizontal="center" vertical="center"/>
    </xf>
    <xf numFmtId="0" fontId="17" fillId="0" borderId="2" xfId="0" applyFont="1" applyBorder="1" applyAlignment="1">
      <alignment horizontal="center" vertical="center" shrinkToFit="1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03" xfId="0" applyFont="1" applyBorder="1" applyAlignment="1">
      <alignment horizontal="center" vertical="center" shrinkToFit="1"/>
    </xf>
    <xf numFmtId="0" fontId="17" fillId="0" borderId="4" xfId="0" applyFont="1" applyBorder="1" applyAlignment="1">
      <alignment horizontal="center" vertical="center" shrinkToFit="1"/>
    </xf>
    <xf numFmtId="0" fontId="17" fillId="0" borderId="5" xfId="0" applyFont="1" applyBorder="1" applyAlignment="1">
      <alignment horizontal="center" vertical="center" shrinkToFit="1"/>
    </xf>
    <xf numFmtId="0" fontId="17" fillId="0" borderId="6" xfId="0" applyFont="1" applyBorder="1" applyAlignment="1">
      <alignment horizontal="center" vertical="center" shrinkToFit="1"/>
    </xf>
    <xf numFmtId="0" fontId="17" fillId="0" borderId="104" xfId="0" applyFont="1" applyBorder="1" applyAlignment="1">
      <alignment horizontal="center" vertical="center" shrinkToFit="1"/>
    </xf>
    <xf numFmtId="0" fontId="17" fillId="0" borderId="50" xfId="0" applyFont="1" applyBorder="1" applyAlignment="1">
      <alignment horizontal="center" vertical="center" shrinkToFit="1"/>
    </xf>
    <xf numFmtId="179" fontId="17" fillId="0" borderId="105" xfId="0" applyNumberFormat="1" applyFont="1" applyBorder="1" applyAlignment="1">
      <alignment horizontal="center" vertical="center" shrinkToFit="1"/>
    </xf>
    <xf numFmtId="179" fontId="17" fillId="0" borderId="106" xfId="0" applyNumberFormat="1" applyFont="1" applyBorder="1" applyAlignment="1">
      <alignment horizontal="center" vertical="center" shrinkToFit="1"/>
    </xf>
    <xf numFmtId="0" fontId="17" fillId="0" borderId="107" xfId="0" applyFont="1" applyBorder="1" applyAlignment="1">
      <alignment horizontal="center" vertical="center" shrinkToFit="1"/>
    </xf>
    <xf numFmtId="0" fontId="17" fillId="0" borderId="108" xfId="0" applyFont="1" applyBorder="1" applyAlignment="1">
      <alignment horizontal="center" vertical="center" shrinkToFit="1"/>
    </xf>
    <xf numFmtId="179" fontId="17" fillId="0" borderId="109" xfId="0" applyNumberFormat="1" applyFont="1" applyBorder="1" applyAlignment="1" applyProtection="1">
      <alignment horizontal="center" vertical="center" shrinkToFit="1"/>
    </xf>
    <xf numFmtId="0" fontId="17" fillId="0" borderId="17" xfId="0" applyFont="1" applyBorder="1" applyAlignment="1" applyProtection="1">
      <alignment horizontal="center" vertical="center" shrinkToFit="1"/>
      <protection locked="0"/>
    </xf>
    <xf numFmtId="178" fontId="17" fillId="0" borderId="67" xfId="0" applyNumberFormat="1" applyFont="1" applyBorder="1" applyAlignment="1" applyProtection="1">
      <alignment horizontal="center" vertical="center" shrinkToFit="1"/>
      <protection locked="0"/>
    </xf>
    <xf numFmtId="178" fontId="17" fillId="0" borderId="41" xfId="0" applyNumberFormat="1" applyFont="1" applyBorder="1" applyAlignment="1" applyProtection="1">
      <alignment horizontal="center" vertical="center" shrinkToFit="1"/>
      <protection locked="0"/>
    </xf>
    <xf numFmtId="0" fontId="17" fillId="0" borderId="110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vertical="center" shrinkToFit="1"/>
      <protection locked="0"/>
    </xf>
    <xf numFmtId="0" fontId="17" fillId="0" borderId="111" xfId="0" applyFont="1" applyBorder="1" applyAlignment="1" applyProtection="1">
      <alignment vertical="center" shrinkToFit="1"/>
      <protection locked="0"/>
    </xf>
    <xf numFmtId="0" fontId="17" fillId="0" borderId="51" xfId="0" applyFont="1" applyBorder="1" applyAlignment="1" applyProtection="1">
      <alignment horizontal="center" vertical="center" shrinkToFit="1"/>
      <protection locked="0"/>
    </xf>
    <xf numFmtId="179" fontId="17" fillId="9" borderId="112" xfId="0" applyNumberFormat="1" applyFont="1" applyFill="1" applyBorder="1" applyAlignment="1" applyProtection="1">
      <alignment vertical="center" shrinkToFit="1"/>
      <protection locked="0"/>
    </xf>
    <xf numFmtId="178" fontId="17" fillId="0" borderId="113" xfId="0" applyNumberFormat="1" applyFont="1" applyBorder="1" applyAlignment="1" applyProtection="1">
      <alignment horizontal="center" vertical="center" shrinkToFit="1"/>
      <protection locked="0"/>
    </xf>
    <xf numFmtId="0" fontId="17" fillId="0" borderId="18" xfId="0" applyFont="1" applyBorder="1" applyAlignment="1" applyProtection="1">
      <alignment horizontal="center" vertical="center" shrinkToFit="1"/>
      <protection locked="0"/>
    </xf>
    <xf numFmtId="178" fontId="17" fillId="0" borderId="68" xfId="0" applyNumberFormat="1" applyFont="1" applyBorder="1" applyAlignment="1" applyProtection="1">
      <alignment horizontal="center" vertical="center" shrinkToFit="1"/>
      <protection locked="0"/>
    </xf>
    <xf numFmtId="178" fontId="17" fillId="0" borderId="42" xfId="0" applyNumberFormat="1" applyFont="1" applyBorder="1" applyAlignment="1" applyProtection="1">
      <alignment horizontal="center" vertical="center" shrinkToFit="1"/>
      <protection locked="0"/>
    </xf>
    <xf numFmtId="0" fontId="17" fillId="0" borderId="114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vertical="center" shrinkToFit="1"/>
      <protection locked="0"/>
    </xf>
    <xf numFmtId="0" fontId="17" fillId="0" borderId="23" xfId="0" applyFont="1" applyBorder="1" applyAlignment="1" applyProtection="1">
      <alignment vertical="center" shrinkToFit="1"/>
      <protection locked="0"/>
    </xf>
    <xf numFmtId="0" fontId="17" fillId="0" borderId="52" xfId="0" applyFont="1" applyBorder="1" applyAlignment="1" applyProtection="1">
      <alignment horizontal="center" vertical="center" shrinkToFit="1"/>
      <protection locked="0"/>
    </xf>
    <xf numFmtId="179" fontId="17" fillId="9" borderId="115" xfId="0" applyNumberFormat="1" applyFont="1" applyFill="1" applyBorder="1" applyAlignment="1" applyProtection="1">
      <alignment vertical="center" shrinkToFit="1"/>
      <protection locked="0"/>
    </xf>
    <xf numFmtId="178" fontId="17" fillId="0" borderId="116" xfId="0" applyNumberFormat="1" applyFont="1" applyBorder="1" applyAlignment="1" applyProtection="1">
      <alignment horizontal="center" vertical="center" shrinkToFit="1"/>
      <protection locked="0"/>
    </xf>
    <xf numFmtId="179" fontId="17" fillId="0" borderId="117" xfId="0" applyNumberFormat="1" applyFont="1" applyBorder="1" applyAlignment="1" applyProtection="1">
      <alignment vertical="center" shrinkToFit="1"/>
    </xf>
    <xf numFmtId="0" fontId="13" fillId="0" borderId="0" xfId="0" applyFont="1" applyAlignment="1">
      <alignment vertical="center"/>
    </xf>
    <xf numFmtId="186" fontId="13" fillId="0" borderId="63" xfId="0" applyNumberFormat="1" applyFont="1" applyBorder="1" applyAlignment="1" applyProtection="1">
      <alignment vertical="center"/>
      <protection locked="0"/>
    </xf>
    <xf numFmtId="186" fontId="13" fillId="0" borderId="73" xfId="0" applyNumberFormat="1" applyFont="1" applyBorder="1" applyAlignment="1" applyProtection="1">
      <alignment vertical="center" shrinkToFit="1"/>
      <protection locked="0"/>
    </xf>
    <xf numFmtId="186" fontId="13" fillId="0" borderId="76" xfId="0" applyNumberFormat="1" applyFont="1" applyBorder="1" applyAlignment="1" applyProtection="1">
      <alignment vertical="center" shrinkToFit="1"/>
      <protection locked="0"/>
    </xf>
    <xf numFmtId="0" fontId="28" fillId="0" borderId="11" xfId="0" applyFont="1" applyBorder="1" applyAlignment="1">
      <alignment vertical="center" wrapText="1"/>
    </xf>
    <xf numFmtId="0" fontId="23" fillId="0" borderId="119" xfId="0" applyFont="1" applyBorder="1" applyAlignment="1">
      <alignment horizontal="center" shrinkToFit="1"/>
    </xf>
    <xf numFmtId="0" fontId="23" fillId="0" borderId="120" xfId="0" applyFont="1" applyBorder="1" applyAlignment="1">
      <alignment horizontal="center" shrinkToFit="1"/>
    </xf>
    <xf numFmtId="0" fontId="31" fillId="0" borderId="120" xfId="0" applyNumberFormat="1" applyFont="1" applyBorder="1" applyAlignment="1">
      <alignment horizontal="center"/>
    </xf>
    <xf numFmtId="0" fontId="23" fillId="0" borderId="121" xfId="0" applyFont="1" applyBorder="1" applyAlignment="1">
      <alignment horizontal="center" shrinkToFit="1"/>
    </xf>
    <xf numFmtId="184" fontId="23" fillId="0" borderId="120" xfId="0" applyNumberFormat="1" applyFont="1" applyBorder="1" applyAlignment="1">
      <alignment horizontal="center" shrinkToFit="1"/>
    </xf>
    <xf numFmtId="0" fontId="0" fillId="0" borderId="120" xfId="0" applyBorder="1" applyAlignment="1">
      <alignment horizontal="center" vertical="center" shrinkToFit="1"/>
    </xf>
    <xf numFmtId="0" fontId="23" fillId="0" borderId="120" xfId="0" applyFont="1" applyBorder="1" applyAlignment="1">
      <alignment shrinkToFit="1"/>
    </xf>
    <xf numFmtId="185" fontId="23" fillId="0" borderId="23" xfId="0" quotePrefix="1" applyNumberFormat="1" applyFont="1" applyBorder="1" applyAlignment="1">
      <alignment vertical="center" shrinkToFit="1"/>
    </xf>
    <xf numFmtId="185" fontId="23" fillId="0" borderId="85" xfId="0" applyNumberFormat="1" applyFont="1" applyBorder="1" applyAlignment="1">
      <alignment shrinkToFit="1"/>
    </xf>
    <xf numFmtId="184" fontId="23" fillId="0" borderId="85" xfId="0" quotePrefix="1" applyNumberFormat="1" applyFont="1" applyBorder="1" applyAlignment="1">
      <alignment vertical="center" shrinkToFit="1"/>
    </xf>
    <xf numFmtId="0" fontId="3" fillId="0" borderId="123" xfId="0" applyFont="1" applyBorder="1" applyAlignment="1" applyProtection="1">
      <alignment vertical="center"/>
      <protection locked="0"/>
    </xf>
    <xf numFmtId="179" fontId="3" fillId="7" borderId="79" xfId="0" applyNumberFormat="1" applyFont="1" applyFill="1" applyBorder="1" applyAlignment="1" applyProtection="1">
      <alignment vertical="center"/>
    </xf>
    <xf numFmtId="179" fontId="3" fillId="7" borderId="80" xfId="0" applyNumberFormat="1" applyFont="1" applyFill="1" applyBorder="1" applyAlignment="1" applyProtection="1">
      <alignment vertical="center"/>
    </xf>
    <xf numFmtId="179" fontId="3" fillId="7" borderId="123" xfId="0" applyNumberFormat="1" applyFont="1" applyFill="1" applyBorder="1" applyAlignment="1" applyProtection="1">
      <alignment vertical="center"/>
    </xf>
    <xf numFmtId="179" fontId="3" fillId="7" borderId="11" xfId="0" applyNumberFormat="1" applyFont="1" applyFill="1" applyBorder="1" applyAlignment="1" applyProtection="1">
      <alignment vertical="center"/>
    </xf>
    <xf numFmtId="186" fontId="13" fillId="0" borderId="63" xfId="0" applyNumberFormat="1" applyFont="1" applyBorder="1" applyAlignment="1" applyProtection="1">
      <alignment vertical="center"/>
    </xf>
    <xf numFmtId="0" fontId="17" fillId="0" borderId="125" xfId="0" applyFont="1" applyBorder="1" applyAlignment="1">
      <alignment horizontal="center" vertical="center" shrinkToFit="1"/>
    </xf>
    <xf numFmtId="0" fontId="17" fillId="0" borderId="126" xfId="0" applyFont="1" applyBorder="1" applyAlignment="1" applyProtection="1">
      <alignment horizontal="center" vertical="center" shrinkToFit="1"/>
      <protection locked="0"/>
    </xf>
    <xf numFmtId="178" fontId="17" fillId="0" borderId="127" xfId="0" applyNumberFormat="1" applyFont="1" applyBorder="1" applyAlignment="1" applyProtection="1">
      <alignment horizontal="center" vertical="center" shrinkToFit="1"/>
      <protection locked="0"/>
    </xf>
    <xf numFmtId="0" fontId="17" fillId="0" borderId="127" xfId="0" applyFont="1" applyBorder="1" applyAlignment="1" applyProtection="1">
      <alignment vertical="center" shrinkToFit="1"/>
      <protection locked="0"/>
    </xf>
    <xf numFmtId="0" fontId="17" fillId="0" borderId="128" xfId="0" applyFont="1" applyBorder="1" applyAlignment="1" applyProtection="1">
      <alignment horizontal="right" vertical="center" shrinkToFit="1"/>
      <protection locked="0"/>
    </xf>
    <xf numFmtId="179" fontId="17" fillId="10" borderId="129" xfId="0" applyNumberFormat="1" applyFont="1" applyFill="1" applyBorder="1" applyAlignment="1" applyProtection="1">
      <alignment vertical="center" shrinkToFit="1"/>
      <protection locked="0"/>
    </xf>
    <xf numFmtId="0" fontId="17" fillId="0" borderId="1" xfId="0" applyFont="1" applyBorder="1" applyAlignment="1" applyProtection="1">
      <alignment horizontal="center" vertical="center" shrinkToFit="1"/>
      <protection locked="0"/>
    </xf>
    <xf numFmtId="178" fontId="17" fillId="0" borderId="2" xfId="0" applyNumberFormat="1" applyFont="1" applyBorder="1" applyAlignment="1" applyProtection="1">
      <alignment horizontal="center" vertical="center" shrinkToFit="1"/>
      <protection locked="0"/>
    </xf>
    <xf numFmtId="178" fontId="17" fillId="0" borderId="3" xfId="0" applyNumberFormat="1" applyFont="1" applyBorder="1" applyAlignment="1" applyProtection="1">
      <alignment horizontal="center" vertical="center" shrinkToFit="1"/>
      <protection locked="0"/>
    </xf>
    <xf numFmtId="0" fontId="17" fillId="0" borderId="130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horizontal="right" vertical="center" shrinkToFit="1"/>
      <protection locked="0"/>
    </xf>
    <xf numFmtId="0" fontId="17" fillId="0" borderId="131" xfId="0" applyFont="1" applyBorder="1" applyAlignment="1" applyProtection="1">
      <alignment horizontal="right" vertical="center" shrinkToFit="1"/>
      <protection locked="0"/>
    </xf>
    <xf numFmtId="0" fontId="17" fillId="0" borderId="132" xfId="0" applyFont="1" applyBorder="1" applyAlignment="1" applyProtection="1">
      <alignment vertical="center" shrinkToFit="1"/>
      <protection locked="0"/>
    </xf>
    <xf numFmtId="0" fontId="17" fillId="0" borderId="49" xfId="0" applyFont="1" applyBorder="1" applyAlignment="1" applyProtection="1">
      <alignment vertical="center" shrinkToFit="1"/>
      <protection locked="0"/>
    </xf>
    <xf numFmtId="0" fontId="17" fillId="0" borderId="133" xfId="0" applyFont="1" applyBorder="1" applyAlignment="1" applyProtection="1">
      <alignment vertical="center" shrinkToFit="1"/>
      <protection locked="0"/>
    </xf>
    <xf numFmtId="176" fontId="17" fillId="0" borderId="134" xfId="0" applyNumberFormat="1" applyFont="1" applyBorder="1" applyAlignment="1" applyProtection="1">
      <alignment vertical="center" shrinkToFit="1"/>
    </xf>
    <xf numFmtId="0" fontId="17" fillId="0" borderId="135" xfId="0" applyFont="1" applyBorder="1" applyAlignment="1">
      <alignment horizontal="center" vertical="center" shrinkToFit="1"/>
    </xf>
    <xf numFmtId="0" fontId="17" fillId="0" borderId="136" xfId="0" applyFont="1" applyBorder="1" applyAlignment="1">
      <alignment horizontal="center" vertical="center" shrinkToFit="1"/>
    </xf>
    <xf numFmtId="179" fontId="17" fillId="10" borderId="137" xfId="0" applyNumberFormat="1" applyFont="1" applyFill="1" applyBorder="1" applyAlignment="1" applyProtection="1">
      <alignment vertical="center" shrinkToFit="1"/>
      <protection locked="0"/>
    </xf>
    <xf numFmtId="179" fontId="17" fillId="10" borderId="138" xfId="0" applyNumberFormat="1" applyFont="1" applyFill="1" applyBorder="1" applyAlignment="1" applyProtection="1">
      <alignment vertical="center" shrinkToFit="1"/>
      <protection locked="0"/>
    </xf>
    <xf numFmtId="0" fontId="32" fillId="0" borderId="0" xfId="0" applyFont="1"/>
    <xf numFmtId="0" fontId="28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 indent="1"/>
    </xf>
    <xf numFmtId="0" fontId="3" fillId="0" borderId="49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39" xfId="0" applyFont="1" applyBorder="1" applyAlignment="1">
      <alignment horizontal="center" vertical="center"/>
    </xf>
    <xf numFmtId="178" fontId="17" fillId="0" borderId="0" xfId="0" applyNumberFormat="1" applyFont="1" applyAlignment="1">
      <alignment vertical="center" shrinkToFit="1"/>
    </xf>
    <xf numFmtId="0" fontId="33" fillId="0" borderId="77" xfId="0" applyFont="1" applyBorder="1" applyAlignment="1" applyProtection="1">
      <alignment vertical="center"/>
    </xf>
    <xf numFmtId="0" fontId="3" fillId="0" borderId="140" xfId="0" applyNumberFormat="1" applyFont="1" applyBorder="1" applyAlignment="1">
      <alignment vertical="center"/>
    </xf>
    <xf numFmtId="0" fontId="3" fillId="0" borderId="23" xfId="0" applyNumberFormat="1" applyFont="1" applyBorder="1" applyAlignment="1">
      <alignment vertical="center"/>
    </xf>
    <xf numFmtId="0" fontId="3" fillId="0" borderId="141" xfId="0" applyFont="1" applyBorder="1"/>
    <xf numFmtId="0" fontId="3" fillId="0" borderId="23" xfId="0" applyFont="1" applyBorder="1"/>
    <xf numFmtId="0" fontId="3" fillId="0" borderId="23" xfId="0" applyFont="1" applyBorder="1" applyAlignment="1">
      <alignment horizontal="center"/>
    </xf>
    <xf numFmtId="0" fontId="28" fillId="0" borderId="23" xfId="0" applyFont="1" applyBorder="1" applyAlignment="1">
      <alignment horizontal="right" vertical="top"/>
    </xf>
    <xf numFmtId="0" fontId="4" fillId="0" borderId="141" xfId="0" applyFont="1" applyBorder="1" applyAlignment="1">
      <alignment horizontal="right" vertical="top"/>
    </xf>
    <xf numFmtId="0" fontId="4" fillId="0" borderId="142" xfId="0" applyFont="1" applyBorder="1" applyAlignment="1">
      <alignment horizontal="center" vertical="center"/>
    </xf>
    <xf numFmtId="0" fontId="4" fillId="0" borderId="143" xfId="0" applyFont="1" applyBorder="1" applyAlignment="1">
      <alignment horizontal="center" vertical="center"/>
    </xf>
    <xf numFmtId="178" fontId="17" fillId="0" borderId="0" xfId="0" applyNumberFormat="1" applyFont="1" applyAlignment="1" applyProtection="1">
      <alignment vertical="center" shrinkToFit="1"/>
      <protection locked="0"/>
    </xf>
    <xf numFmtId="0" fontId="3" fillId="0" borderId="144" xfId="0" applyNumberFormat="1" applyFont="1" applyBorder="1" applyAlignment="1">
      <alignment vertical="center" shrinkToFit="1"/>
    </xf>
    <xf numFmtId="187" fontId="3" fillId="0" borderId="142" xfId="0" applyNumberFormat="1" applyFont="1" applyBorder="1" applyAlignment="1">
      <alignment vertical="center"/>
    </xf>
    <xf numFmtId="187" fontId="3" fillId="0" borderId="23" xfId="0" applyNumberFormat="1" applyFont="1" applyBorder="1" applyAlignment="1">
      <alignment vertical="center"/>
    </xf>
    <xf numFmtId="177" fontId="3" fillId="0" borderId="23" xfId="0" applyNumberFormat="1" applyFont="1" applyBorder="1" applyAlignment="1">
      <alignment horizontal="center" vertical="center"/>
    </xf>
    <xf numFmtId="177" fontId="3" fillId="0" borderId="23" xfId="0" applyNumberFormat="1" applyFont="1" applyBorder="1" applyAlignment="1">
      <alignment vertical="center"/>
    </xf>
    <xf numFmtId="177" fontId="4" fillId="0" borderId="142" xfId="0" applyNumberFormat="1" applyFont="1" applyBorder="1" applyAlignment="1">
      <alignment vertical="center"/>
    </xf>
    <xf numFmtId="177" fontId="4" fillId="0" borderId="143" xfId="0" applyNumberFormat="1" applyFont="1" applyBorder="1" applyAlignment="1">
      <alignment vertical="center"/>
    </xf>
    <xf numFmtId="0" fontId="3" fillId="0" borderId="140" xfId="0" applyNumberFormat="1" applyFont="1" applyBorder="1" applyAlignment="1">
      <alignment horizontal="center" vertical="center"/>
    </xf>
    <xf numFmtId="0" fontId="9" fillId="0" borderId="145" xfId="0" applyFont="1" applyBorder="1" applyAlignment="1" applyProtection="1">
      <alignment vertical="center"/>
      <protection locked="0"/>
    </xf>
    <xf numFmtId="177" fontId="3" fillId="0" borderId="142" xfId="0" applyNumberFormat="1" applyFont="1" applyBorder="1" applyAlignment="1">
      <alignment vertical="center"/>
    </xf>
    <xf numFmtId="177" fontId="3" fillId="0" borderId="143" xfId="0" applyNumberFormat="1" applyFont="1" applyBorder="1" applyAlignment="1">
      <alignment vertical="center"/>
    </xf>
    <xf numFmtId="0" fontId="3" fillId="0" borderId="126" xfId="0" applyNumberFormat="1" applyFont="1" applyBorder="1" applyAlignment="1">
      <alignment vertical="center" shrinkToFit="1"/>
    </xf>
    <xf numFmtId="0" fontId="9" fillId="0" borderId="146" xfId="0" applyFont="1" applyBorder="1" applyAlignment="1" applyProtection="1">
      <alignment vertical="center"/>
      <protection locked="0"/>
    </xf>
    <xf numFmtId="0" fontId="3" fillId="0" borderId="118" xfId="0" applyNumberFormat="1" applyFont="1" applyBorder="1" applyAlignment="1">
      <alignment vertical="center"/>
    </xf>
    <xf numFmtId="177" fontId="3" fillId="0" borderId="127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vertical="center"/>
    </xf>
    <xf numFmtId="177" fontId="3" fillId="0" borderId="118" xfId="0" applyNumberFormat="1" applyFont="1" applyBorder="1" applyAlignment="1">
      <alignment horizontal="center" vertical="center"/>
    </xf>
    <xf numFmtId="177" fontId="3" fillId="0" borderId="147" xfId="0" applyNumberFormat="1" applyFont="1" applyBorder="1" applyAlignment="1">
      <alignment vertical="center"/>
    </xf>
    <xf numFmtId="176" fontId="3" fillId="0" borderId="0" xfId="0" applyNumberFormat="1" applyFont="1" applyAlignment="1">
      <alignment horizontal="left" vertical="center" shrinkToFit="1"/>
    </xf>
    <xf numFmtId="177" fontId="3" fillId="0" borderId="0" xfId="0" applyNumberFormat="1" applyFont="1" applyAlignment="1">
      <alignment vertical="center"/>
    </xf>
    <xf numFmtId="176" fontId="3" fillId="0" borderId="0" xfId="0" applyNumberFormat="1" applyFont="1" applyAlignment="1">
      <alignment vertical="center"/>
    </xf>
    <xf numFmtId="176" fontId="5" fillId="0" borderId="0" xfId="0" applyNumberFormat="1" applyFont="1" applyBorder="1" applyAlignment="1" applyProtection="1">
      <alignment vertical="center" shrinkToFit="1"/>
    </xf>
    <xf numFmtId="176" fontId="13" fillId="0" borderId="0" xfId="0" applyNumberFormat="1" applyFont="1" applyBorder="1" applyAlignment="1" applyProtection="1">
      <alignment horizontal="right" vertical="center"/>
    </xf>
    <xf numFmtId="0" fontId="17" fillId="0" borderId="49" xfId="0" applyFont="1" applyBorder="1" applyAlignment="1" applyProtection="1">
      <alignment horizontal="center" vertical="center" shrinkToFit="1"/>
      <protection locked="0"/>
    </xf>
    <xf numFmtId="0" fontId="25" fillId="0" borderId="84" xfId="0" applyFont="1" applyBorder="1" applyAlignment="1">
      <alignment horizontal="right" vertical="center" shrinkToFit="1"/>
    </xf>
    <xf numFmtId="0" fontId="23" fillId="0" borderId="149" xfId="0" applyNumberFormat="1" applyFont="1" applyBorder="1" applyAlignment="1">
      <alignment horizontal="center" shrinkToFit="1"/>
    </xf>
    <xf numFmtId="0" fontId="23" fillId="11" borderId="14" xfId="0" applyFont="1" applyFill="1" applyBorder="1" applyAlignment="1">
      <alignment vertical="center" shrinkToFit="1"/>
    </xf>
    <xf numFmtId="0" fontId="23" fillId="11" borderId="15" xfId="0" applyFont="1" applyFill="1" applyBorder="1" applyAlignment="1">
      <alignment vertical="center" shrinkToFit="1"/>
    </xf>
    <xf numFmtId="0" fontId="23" fillId="11" borderId="123" xfId="0" applyFont="1" applyFill="1" applyBorder="1" applyAlignment="1">
      <alignment vertical="center" shrinkToFit="1"/>
    </xf>
    <xf numFmtId="0" fontId="23" fillId="11" borderId="150" xfId="0" applyFont="1" applyFill="1" applyBorder="1" applyAlignment="1">
      <alignment horizontal="center" shrinkToFit="1"/>
    </xf>
    <xf numFmtId="0" fontId="23" fillId="11" borderId="151" xfId="0" applyFont="1" applyFill="1" applyBorder="1" applyAlignment="1">
      <alignment horizontal="center" shrinkToFit="1"/>
    </xf>
    <xf numFmtId="0" fontId="23" fillId="11" borderId="152" xfId="0" applyFont="1" applyFill="1" applyBorder="1" applyAlignment="1">
      <alignment horizontal="center" shrinkToFit="1"/>
    </xf>
    <xf numFmtId="0" fontId="23" fillId="11" borderId="14" xfId="0" applyFont="1" applyFill="1" applyBorder="1" applyAlignment="1">
      <alignment shrinkToFit="1"/>
    </xf>
    <xf numFmtId="0" fontId="23" fillId="11" borderId="15" xfId="0" applyFont="1" applyFill="1" applyBorder="1" applyAlignment="1">
      <alignment shrinkToFit="1"/>
    </xf>
    <xf numFmtId="0" fontId="23" fillId="11" borderId="123" xfId="0" applyFont="1" applyFill="1" applyBorder="1" applyAlignment="1">
      <alignment shrinkToFit="1"/>
    </xf>
    <xf numFmtId="0" fontId="23" fillId="0" borderId="0" xfId="0" applyFont="1" applyBorder="1" applyAlignment="1">
      <alignment horizontal="center" shrinkToFit="1"/>
    </xf>
    <xf numFmtId="0" fontId="23" fillId="0" borderId="0" xfId="0" applyNumberFormat="1" applyFont="1" applyBorder="1" applyAlignment="1">
      <alignment shrinkToFit="1"/>
    </xf>
    <xf numFmtId="184" fontId="23" fillId="11" borderId="94" xfId="0" applyNumberFormat="1" applyFont="1" applyFill="1" applyBorder="1" applyAlignment="1">
      <alignment vertical="center" shrinkToFit="1"/>
    </xf>
    <xf numFmtId="184" fontId="23" fillId="11" borderId="95" xfId="0" applyNumberFormat="1" applyFont="1" applyFill="1" applyBorder="1" applyAlignment="1">
      <alignment vertical="center" shrinkToFit="1"/>
    </xf>
    <xf numFmtId="184" fontId="23" fillId="11" borderId="99" xfId="0" applyNumberFormat="1" applyFont="1" applyFill="1" applyBorder="1" applyAlignment="1">
      <alignment vertical="center" shrinkToFit="1"/>
    </xf>
    <xf numFmtId="0" fontId="23" fillId="0" borderId="0" xfId="0" applyFont="1" applyAlignment="1">
      <alignment horizontal="center" shrinkToFit="1"/>
    </xf>
    <xf numFmtId="184" fontId="23" fillId="11" borderId="24" xfId="0" applyNumberFormat="1" applyFont="1" applyFill="1" applyBorder="1" applyAlignment="1">
      <alignment vertical="center" shrinkToFit="1"/>
    </xf>
    <xf numFmtId="184" fontId="23" fillId="11" borderId="23" xfId="0" applyNumberFormat="1" applyFont="1" applyFill="1" applyBorder="1" applyAlignment="1">
      <alignment vertical="center" shrinkToFit="1"/>
    </xf>
    <xf numFmtId="184" fontId="23" fillId="11" borderId="31" xfId="0" applyNumberFormat="1" applyFont="1" applyFill="1" applyBorder="1" applyAlignment="1">
      <alignment vertical="center" shrinkToFit="1"/>
    </xf>
    <xf numFmtId="184" fontId="23" fillId="11" borderId="85" xfId="0" applyNumberFormat="1" applyFont="1" applyFill="1" applyBorder="1" applyAlignment="1">
      <alignment vertical="center" shrinkToFit="1"/>
    </xf>
    <xf numFmtId="184" fontId="23" fillId="11" borderId="98" xfId="0" applyNumberFormat="1" applyFont="1" applyFill="1" applyBorder="1" applyAlignment="1">
      <alignment vertical="center" shrinkToFit="1"/>
    </xf>
    <xf numFmtId="0" fontId="23" fillId="0" borderId="87" xfId="0" applyNumberFormat="1" applyFont="1" applyBorder="1" applyAlignment="1">
      <alignment shrinkToFit="1"/>
    </xf>
    <xf numFmtId="0" fontId="23" fillId="0" borderId="87" xfId="0" applyFont="1" applyBorder="1" applyAlignment="1">
      <alignment shrinkToFit="1"/>
    </xf>
    <xf numFmtId="177" fontId="30" fillId="0" borderId="87" xfId="0" applyNumberFormat="1" applyFont="1" applyBorder="1" applyAlignment="1">
      <alignment shrinkToFit="1"/>
    </xf>
    <xf numFmtId="0" fontId="30" fillId="0" borderId="87" xfId="0" applyFont="1" applyBorder="1" applyAlignment="1"/>
    <xf numFmtId="177" fontId="23" fillId="0" borderId="87" xfId="0" applyNumberFormat="1" applyFont="1" applyBorder="1" applyAlignment="1">
      <alignment shrinkToFit="1"/>
    </xf>
    <xf numFmtId="184" fontId="23" fillId="0" borderId="0" xfId="0" applyNumberFormat="1" applyFont="1" applyFill="1" applyBorder="1" applyAlignment="1">
      <alignment vertical="center" shrinkToFit="1"/>
    </xf>
    <xf numFmtId="0" fontId="28" fillId="0" borderId="80" xfId="0" applyFont="1" applyBorder="1" applyAlignment="1">
      <alignment vertical="center"/>
    </xf>
    <xf numFmtId="0" fontId="28" fillId="0" borderId="80" xfId="0" applyFont="1" applyBorder="1" applyAlignment="1">
      <alignment vertical="center" wrapText="1"/>
    </xf>
    <xf numFmtId="0" fontId="23" fillId="6" borderId="0" xfId="0" applyFont="1" applyFill="1"/>
    <xf numFmtId="179" fontId="17" fillId="0" borderId="161" xfId="0" applyNumberFormat="1" applyFont="1" applyBorder="1" applyAlignment="1" applyProtection="1">
      <alignment horizontal="center" vertical="center" shrinkToFit="1"/>
      <protection locked="0"/>
    </xf>
    <xf numFmtId="179" fontId="17" fillId="0" borderId="127" xfId="0" applyNumberFormat="1" applyFont="1" applyBorder="1" applyAlignment="1">
      <alignment horizontal="center" vertical="center" shrinkToFit="1"/>
    </xf>
    <xf numFmtId="0" fontId="17" fillId="0" borderId="134" xfId="0" applyNumberFormat="1" applyFont="1" applyFill="1" applyBorder="1" applyAlignment="1" applyProtection="1">
      <alignment vertical="center" shrinkToFit="1"/>
    </xf>
    <xf numFmtId="0" fontId="17" fillId="0" borderId="185" xfId="0" applyFont="1" applyBorder="1" applyAlignment="1" applyProtection="1">
      <alignment horizontal="center" vertical="center" shrinkToFit="1"/>
      <protection locked="0"/>
    </xf>
    <xf numFmtId="178" fontId="17" fillId="0" borderId="186" xfId="0" applyNumberFormat="1" applyFont="1" applyBorder="1" applyAlignment="1" applyProtection="1">
      <alignment horizontal="center" vertical="center" shrinkToFit="1"/>
      <protection locked="0"/>
    </xf>
    <xf numFmtId="178" fontId="17" fillId="0" borderId="187" xfId="0" applyNumberFormat="1" applyFont="1" applyBorder="1" applyAlignment="1" applyProtection="1">
      <alignment horizontal="center" vertical="center" shrinkToFit="1"/>
      <protection locked="0"/>
    </xf>
    <xf numFmtId="0" fontId="17" fillId="0" borderId="188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vertical="center" shrinkToFit="1"/>
      <protection locked="0"/>
    </xf>
    <xf numFmtId="0" fontId="17" fillId="0" borderId="120" xfId="0" applyFont="1" applyBorder="1" applyAlignment="1" applyProtection="1">
      <alignment vertical="center" shrinkToFit="1"/>
      <protection locked="0"/>
    </xf>
    <xf numFmtId="0" fontId="17" fillId="0" borderId="169" xfId="0" applyFont="1" applyBorder="1" applyAlignment="1" applyProtection="1">
      <alignment horizontal="center" vertical="center" shrinkToFit="1"/>
      <protection locked="0"/>
    </xf>
    <xf numFmtId="179" fontId="17" fillId="9" borderId="189" xfId="0" applyNumberFormat="1" applyFont="1" applyFill="1" applyBorder="1" applyAlignment="1" applyProtection="1">
      <alignment vertical="center" shrinkToFit="1"/>
      <protection locked="0"/>
    </xf>
    <xf numFmtId="178" fontId="17" fillId="0" borderId="190" xfId="0" applyNumberFormat="1" applyFont="1" applyBorder="1" applyAlignment="1" applyProtection="1">
      <alignment horizontal="center" vertical="center" shrinkToFit="1"/>
      <protection locked="0"/>
    </xf>
    <xf numFmtId="0" fontId="17" fillId="0" borderId="191" xfId="0" applyFont="1" applyBorder="1" applyAlignment="1" applyProtection="1">
      <alignment horizontal="center" vertical="center" shrinkToFit="1"/>
      <protection locked="0"/>
    </xf>
    <xf numFmtId="178" fontId="17" fillId="0" borderId="192" xfId="0" applyNumberFormat="1" applyFont="1" applyBorder="1" applyAlignment="1" applyProtection="1">
      <alignment horizontal="center" vertical="center" shrinkToFit="1"/>
      <protection locked="0"/>
    </xf>
    <xf numFmtId="0" fontId="17" fillId="0" borderId="192" xfId="0" applyFont="1" applyBorder="1" applyAlignment="1" applyProtection="1">
      <alignment vertical="center" shrinkToFit="1"/>
      <protection locked="0"/>
    </xf>
    <xf numFmtId="0" fontId="17" fillId="0" borderId="192" xfId="0" applyFont="1" applyBorder="1" applyAlignment="1" applyProtection="1">
      <alignment horizontal="center" vertical="center" shrinkToFit="1"/>
      <protection locked="0"/>
    </xf>
    <xf numFmtId="179" fontId="17" fillId="12" borderId="192" xfId="0" applyNumberFormat="1" applyFont="1" applyFill="1" applyBorder="1" applyAlignment="1" applyProtection="1">
      <alignment vertical="center" shrinkToFit="1"/>
      <protection locked="0"/>
    </xf>
    <xf numFmtId="179" fontId="17" fillId="13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84" xfId="0" applyNumberFormat="1" applyFont="1" applyBorder="1" applyAlignment="1" applyProtection="1">
      <alignment vertical="center" shrinkToFit="1"/>
    </xf>
    <xf numFmtId="179" fontId="17" fillId="0" borderId="192" xfId="0" applyNumberFormat="1" applyFont="1" applyFill="1" applyBorder="1" applyAlignment="1" applyProtection="1">
      <alignment vertical="center" shrinkToFit="1"/>
      <protection locked="0"/>
    </xf>
    <xf numFmtId="179" fontId="17" fillId="0" borderId="194" xfId="0" applyNumberFormat="1" applyFont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14" borderId="117" xfId="0" applyNumberFormat="1" applyFont="1" applyFill="1" applyBorder="1" applyAlignment="1" applyProtection="1">
      <alignment vertical="center" shrinkToFit="1"/>
    </xf>
    <xf numFmtId="179" fontId="17" fillId="14" borderId="142" xfId="0" applyNumberFormat="1" applyFont="1" applyFill="1" applyBorder="1" applyAlignment="1" applyProtection="1">
      <alignment vertical="center" shrinkToFit="1"/>
      <protection locked="0"/>
    </xf>
    <xf numFmtId="179" fontId="17" fillId="14" borderId="193" xfId="0" applyNumberFormat="1" applyFont="1" applyFill="1" applyBorder="1" applyAlignment="1" applyProtection="1">
      <alignment vertical="center" shrinkToFit="1"/>
    </xf>
    <xf numFmtId="0" fontId="17" fillId="0" borderId="124" xfId="0" applyFont="1" applyBorder="1" applyAlignment="1">
      <alignment horizontal="center" vertical="center" shrinkToFit="1"/>
    </xf>
    <xf numFmtId="179" fontId="17" fillId="0" borderId="124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95" xfId="0" applyNumberFormat="1" applyFont="1" applyFill="1" applyBorder="1" applyAlignment="1" applyProtection="1">
      <alignment vertical="center" shrinkToFit="1"/>
      <protection locked="0"/>
    </xf>
    <xf numFmtId="179" fontId="17" fillId="0" borderId="196" xfId="0" applyNumberFormat="1" applyFont="1" applyFill="1" applyBorder="1" applyAlignment="1" applyProtection="1">
      <alignment vertical="center" shrinkToFit="1"/>
      <protection locked="0"/>
    </xf>
    <xf numFmtId="179" fontId="17" fillId="0" borderId="44" xfId="0" applyNumberFormat="1" applyFont="1" applyBorder="1" applyAlignment="1" applyProtection="1">
      <alignment horizontal="center" vertical="center" shrinkToFit="1"/>
      <protection locked="0"/>
    </xf>
    <xf numFmtId="179" fontId="17" fillId="0" borderId="197" xfId="0" applyNumberFormat="1" applyFont="1" applyBorder="1" applyAlignment="1" applyProtection="1">
      <alignment vertical="center" shrinkToFit="1"/>
    </xf>
    <xf numFmtId="0" fontId="17" fillId="0" borderId="198" xfId="0" applyFont="1" applyBorder="1" applyAlignment="1">
      <alignment vertical="center"/>
    </xf>
    <xf numFmtId="0" fontId="4" fillId="0" borderId="198" xfId="0" applyFont="1" applyBorder="1" applyAlignment="1">
      <alignment vertical="center"/>
    </xf>
    <xf numFmtId="0" fontId="0" fillId="0" borderId="192" xfId="0" applyBorder="1" applyAlignment="1">
      <alignment vertical="center"/>
    </xf>
    <xf numFmtId="0" fontId="0" fillId="0" borderId="199" xfId="0" applyBorder="1" applyAlignment="1">
      <alignment horizontal="right" vertical="center"/>
    </xf>
    <xf numFmtId="179" fontId="17" fillId="0" borderId="192" xfId="0" applyNumberFormat="1" applyFont="1" applyFill="1" applyBorder="1" applyAlignment="1" applyProtection="1">
      <alignment vertical="center" shrinkToFit="1"/>
    </xf>
    <xf numFmtId="0" fontId="17" fillId="0" borderId="111" xfId="0" applyFont="1" applyFill="1" applyBorder="1" applyAlignment="1" applyProtection="1">
      <alignment vertical="center" shrinkToFit="1"/>
      <protection locked="0"/>
    </xf>
    <xf numFmtId="0" fontId="17" fillId="0" borderId="23" xfId="0" applyFont="1" applyFill="1" applyBorder="1" applyAlignment="1" applyProtection="1">
      <alignment vertical="center" shrinkToFit="1"/>
      <protection locked="0"/>
    </xf>
    <xf numFmtId="0" fontId="17" fillId="0" borderId="120" xfId="0" applyFont="1" applyFill="1" applyBorder="1" applyAlignment="1" applyProtection="1">
      <alignment vertical="center" shrinkToFit="1"/>
      <protection locked="0"/>
    </xf>
    <xf numFmtId="0" fontId="23" fillId="0" borderId="178" xfId="0" applyNumberFormat="1" applyFont="1" applyBorder="1" applyAlignment="1">
      <alignment shrinkToFit="1"/>
    </xf>
    <xf numFmtId="0" fontId="23" fillId="0" borderId="200" xfId="0" applyNumberFormat="1" applyFont="1" applyBorder="1" applyAlignment="1">
      <alignment shrinkToFit="1"/>
    </xf>
    <xf numFmtId="0" fontId="23" fillId="0" borderId="142" xfId="0" applyNumberFormat="1" applyFont="1" applyBorder="1" applyAlignment="1">
      <alignment shrinkToFit="1"/>
    </xf>
    <xf numFmtId="0" fontId="23" fillId="0" borderId="31" xfId="0" applyNumberFormat="1" applyFont="1" applyBorder="1" applyAlignment="1">
      <alignment shrinkToFit="1"/>
    </xf>
    <xf numFmtId="0" fontId="23" fillId="0" borderId="176" xfId="0" quotePrefix="1" applyNumberFormat="1" applyFont="1" applyBorder="1" applyAlignment="1">
      <alignment vertical="center" shrinkToFit="1"/>
    </xf>
    <xf numFmtId="0" fontId="23" fillId="0" borderId="98" xfId="0" quotePrefix="1" applyNumberFormat="1" applyFont="1" applyBorder="1" applyAlignment="1">
      <alignment vertical="center" shrinkToFit="1"/>
    </xf>
    <xf numFmtId="183" fontId="23" fillId="0" borderId="141" xfId="0" quotePrefix="1" applyNumberFormat="1" applyFont="1" applyBorder="1" applyAlignment="1">
      <alignment vertical="center" shrinkToFit="1"/>
    </xf>
    <xf numFmtId="183" fontId="23" fillId="0" borderId="99" xfId="0" quotePrefix="1" applyNumberFormat="1" applyFont="1" applyBorder="1" applyAlignment="1">
      <alignment vertical="center" shrinkToFit="1"/>
    </xf>
    <xf numFmtId="183" fontId="23" fillId="0" borderId="142" xfId="0" quotePrefix="1" applyNumberFormat="1" applyFont="1" applyBorder="1" applyAlignment="1">
      <alignment vertical="center" shrinkToFit="1"/>
    </xf>
    <xf numFmtId="183" fontId="23" fillId="0" borderId="31" xfId="0" quotePrefix="1" applyNumberFormat="1" applyFont="1" applyBorder="1" applyAlignment="1">
      <alignment vertical="center" shrinkToFit="1"/>
    </xf>
    <xf numFmtId="183" fontId="23" fillId="0" borderId="87" xfId="0" applyNumberFormat="1" applyFont="1" applyBorder="1" applyAlignment="1">
      <alignment shrinkToFit="1"/>
    </xf>
    <xf numFmtId="183" fontId="23" fillId="0" borderId="100" xfId="0" applyNumberFormat="1" applyFont="1" applyBorder="1" applyAlignment="1">
      <alignment shrinkToFit="1"/>
    </xf>
    <xf numFmtId="0" fontId="23" fillId="0" borderId="169" xfId="0" applyFont="1" applyBorder="1" applyAlignment="1">
      <alignment shrinkToFit="1"/>
    </xf>
    <xf numFmtId="0" fontId="23" fillId="0" borderId="169" xfId="0" applyFont="1" applyBorder="1" applyAlignment="1">
      <alignment horizontal="center" shrinkToFit="1"/>
    </xf>
    <xf numFmtId="0" fontId="23" fillId="0" borderId="122" xfId="0" applyFont="1" applyBorder="1" applyAlignment="1">
      <alignment horizontal="center" shrinkToFit="1"/>
    </xf>
    <xf numFmtId="0" fontId="23" fillId="0" borderId="201" xfId="0" applyFont="1" applyBorder="1" applyAlignment="1">
      <alignment horizontal="center" shrinkToFit="1"/>
    </xf>
    <xf numFmtId="0" fontId="23" fillId="0" borderId="202" xfId="0" applyFont="1" applyBorder="1" applyAlignment="1">
      <alignment horizontal="center" shrinkToFit="1"/>
    </xf>
    <xf numFmtId="0" fontId="23" fillId="0" borderId="99" xfId="0" applyFont="1" applyBorder="1" applyAlignment="1">
      <alignment shrinkToFit="1"/>
    </xf>
    <xf numFmtId="0" fontId="23" fillId="0" borderId="156" xfId="0" applyFont="1" applyBorder="1" applyAlignment="1">
      <alignment shrinkToFit="1"/>
    </xf>
    <xf numFmtId="0" fontId="23" fillId="0" borderId="96" xfId="0" applyFont="1" applyBorder="1" applyAlignment="1">
      <alignment horizontal="center" shrinkToFit="1"/>
    </xf>
    <xf numFmtId="184" fontId="23" fillId="0" borderId="86" xfId="0" applyNumberFormat="1" applyFont="1" applyBorder="1" applyAlignment="1">
      <alignment vertical="center" shrinkToFit="1"/>
    </xf>
    <xf numFmtId="184" fontId="23" fillId="0" borderId="203" xfId="0" applyNumberFormat="1" applyFont="1" applyBorder="1" applyAlignment="1">
      <alignment vertical="center" shrinkToFit="1"/>
    </xf>
    <xf numFmtId="185" fontId="23" fillId="0" borderId="52" xfId="0" applyNumberFormat="1" applyFont="1" applyBorder="1" applyAlignment="1">
      <alignment vertical="center" shrinkToFit="1"/>
    </xf>
    <xf numFmtId="185" fontId="23" fillId="0" borderId="140" xfId="0" applyNumberFormat="1" applyFont="1" applyBorder="1" applyAlignment="1">
      <alignment vertical="center" shrinkToFit="1"/>
    </xf>
    <xf numFmtId="0" fontId="23" fillId="0" borderId="204" xfId="0" applyFont="1" applyBorder="1" applyAlignment="1">
      <alignment vertical="center" shrinkToFit="1"/>
    </xf>
    <xf numFmtId="0" fontId="23" fillId="0" borderId="31" xfId="0" applyFont="1" applyBorder="1" applyAlignment="1">
      <alignment vertical="center" shrinkToFit="1"/>
    </xf>
    <xf numFmtId="185" fontId="23" fillId="0" borderId="86" xfId="0" applyNumberFormat="1" applyFont="1" applyBorder="1" applyAlignment="1">
      <alignment shrinkToFit="1"/>
    </xf>
    <xf numFmtId="185" fontId="23" fillId="0" borderId="205" xfId="0" applyNumberFormat="1" applyFont="1" applyBorder="1" applyAlignment="1">
      <alignment shrinkToFit="1"/>
    </xf>
    <xf numFmtId="185" fontId="23" fillId="0" borderId="93" xfId="0" applyNumberFormat="1" applyFont="1" applyBorder="1" applyAlignment="1">
      <alignment shrinkToFit="1"/>
    </xf>
    <xf numFmtId="0" fontId="23" fillId="0" borderId="100" xfId="0" applyFont="1" applyBorder="1" applyAlignment="1">
      <alignment shrinkToFit="1"/>
    </xf>
    <xf numFmtId="0" fontId="28" fillId="0" borderId="11" xfId="0" applyFont="1" applyBorder="1" applyAlignment="1">
      <alignment horizontal="center" vertical="center" wrapText="1"/>
    </xf>
    <xf numFmtId="0" fontId="28" fillId="0" borderId="206" xfId="0" applyFont="1" applyBorder="1" applyAlignment="1">
      <alignment horizontal="center" vertical="center" wrapText="1"/>
    </xf>
    <xf numFmtId="0" fontId="3" fillId="0" borderId="123" xfId="0" applyFont="1" applyBorder="1" applyAlignment="1">
      <alignment horizontal="center" vertical="center"/>
    </xf>
    <xf numFmtId="0" fontId="3" fillId="0" borderId="206" xfId="0" applyFont="1" applyBorder="1" applyAlignment="1">
      <alignment vertical="center" shrinkToFit="1"/>
    </xf>
    <xf numFmtId="0" fontId="3" fillId="0" borderId="123" xfId="0" applyFont="1" applyBorder="1" applyAlignment="1">
      <alignment vertical="center" shrinkToFit="1"/>
    </xf>
    <xf numFmtId="0" fontId="3" fillId="0" borderId="11" xfId="0" applyFont="1" applyBorder="1" applyAlignment="1">
      <alignment vertical="center"/>
    </xf>
    <xf numFmtId="0" fontId="0" fillId="0" borderId="199" xfId="0" applyBorder="1" applyAlignment="1">
      <alignment horizontal="right" vertical="center" shrinkToFit="1"/>
    </xf>
    <xf numFmtId="0" fontId="17" fillId="0" borderId="0" xfId="0" applyFont="1" applyAlignment="1">
      <alignment vertical="center" shrinkToFit="1"/>
    </xf>
    <xf numFmtId="179" fontId="17" fillId="0" borderId="0" xfId="0" applyNumberFormat="1" applyFont="1" applyAlignment="1">
      <alignment vertical="center" shrinkToFit="1"/>
    </xf>
    <xf numFmtId="179" fontId="17" fillId="0" borderId="26" xfId="0" applyNumberFormat="1" applyFont="1" applyBorder="1" applyAlignment="1">
      <alignment horizontal="center" vertical="center" shrinkToFit="1"/>
    </xf>
    <xf numFmtId="179" fontId="17" fillId="0" borderId="27" xfId="0" applyNumberFormat="1" applyFont="1" applyBorder="1" applyAlignment="1">
      <alignment horizontal="center" vertical="center" shrinkToFit="1"/>
    </xf>
    <xf numFmtId="179" fontId="17" fillId="0" borderId="36" xfId="0" applyNumberFormat="1" applyFont="1" applyBorder="1" applyAlignment="1">
      <alignment horizontal="center" vertical="center" shrinkToFit="1"/>
    </xf>
    <xf numFmtId="179" fontId="17" fillId="0" borderId="58" xfId="0" applyNumberFormat="1" applyFont="1" applyBorder="1" applyAlignment="1">
      <alignment horizontal="center" vertical="center" shrinkToFit="1"/>
    </xf>
    <xf numFmtId="179" fontId="17" fillId="0" borderId="28" xfId="0" applyNumberFormat="1" applyFont="1" applyBorder="1" applyAlignment="1" applyProtection="1">
      <alignment vertical="center" shrinkToFit="1"/>
      <protection locked="0"/>
    </xf>
    <xf numFmtId="179" fontId="17" fillId="0" borderId="29" xfId="0" applyNumberFormat="1" applyFont="1" applyBorder="1" applyAlignment="1">
      <alignment vertical="center" shrinkToFit="1"/>
    </xf>
    <xf numFmtId="179" fontId="17" fillId="0" borderId="22" xfId="0" applyNumberFormat="1" applyFont="1" applyBorder="1" applyAlignment="1" applyProtection="1">
      <alignment vertical="center" shrinkToFit="1"/>
      <protection locked="0"/>
    </xf>
    <xf numFmtId="179" fontId="17" fillId="0" borderId="54" xfId="0" applyNumberFormat="1" applyFont="1" applyBorder="1" applyAlignment="1">
      <alignment vertical="center" shrinkToFit="1"/>
    </xf>
    <xf numFmtId="179" fontId="17" fillId="0" borderId="59" xfId="0" applyNumberFormat="1" applyFont="1" applyBorder="1" applyAlignment="1">
      <alignment vertical="center" shrinkToFit="1"/>
    </xf>
    <xf numFmtId="179" fontId="17" fillId="0" borderId="30" xfId="0" applyNumberFormat="1" applyFont="1" applyBorder="1" applyAlignment="1" applyProtection="1">
      <alignment vertical="center" shrinkToFit="1"/>
      <protection locked="0"/>
    </xf>
    <xf numFmtId="179" fontId="17" fillId="0" borderId="31" xfId="0" applyNumberFormat="1" applyFont="1" applyBorder="1" applyAlignment="1">
      <alignment vertical="center" shrinkToFit="1"/>
    </xf>
    <xf numFmtId="179" fontId="17" fillId="0" borderId="24" xfId="0" applyNumberFormat="1" applyFont="1" applyBorder="1" applyAlignment="1" applyProtection="1">
      <alignment vertical="center" shrinkToFit="1"/>
      <protection locked="0"/>
    </xf>
    <xf numFmtId="179" fontId="17" fillId="0" borderId="55" xfId="0" applyNumberFormat="1" applyFont="1" applyBorder="1" applyAlignment="1">
      <alignment vertical="center" shrinkToFit="1"/>
    </xf>
    <xf numFmtId="179" fontId="17" fillId="0" borderId="60" xfId="0" applyNumberFormat="1" applyFont="1" applyBorder="1" applyAlignment="1">
      <alignment vertical="center" shrinkToFit="1"/>
    </xf>
    <xf numFmtId="179" fontId="17" fillId="0" borderId="32" xfId="0" applyNumberFormat="1" applyFont="1" applyBorder="1" applyAlignment="1" applyProtection="1">
      <alignment vertical="center" shrinkToFit="1"/>
      <protection locked="0"/>
    </xf>
    <xf numFmtId="179" fontId="17" fillId="0" borderId="33" xfId="0" applyNumberFormat="1" applyFont="1" applyBorder="1" applyAlignment="1">
      <alignment vertical="center" shrinkToFit="1"/>
    </xf>
    <xf numFmtId="179" fontId="17" fillId="0" borderId="25" xfId="0" applyNumberFormat="1" applyFont="1" applyBorder="1" applyAlignment="1" applyProtection="1">
      <alignment vertical="center" shrinkToFit="1"/>
      <protection locked="0"/>
    </xf>
    <xf numFmtId="179" fontId="17" fillId="0" borderId="56" xfId="0" applyNumberFormat="1" applyFont="1" applyBorder="1" applyAlignment="1">
      <alignment vertical="center" shrinkToFit="1"/>
    </xf>
    <xf numFmtId="179" fontId="17" fillId="0" borderId="61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vertical="center" shrinkToFit="1"/>
    </xf>
    <xf numFmtId="179" fontId="17" fillId="0" borderId="35" xfId="0" applyNumberFormat="1" applyFont="1" applyBorder="1" applyAlignment="1">
      <alignment vertical="center" shrinkToFit="1"/>
    </xf>
    <xf numFmtId="179" fontId="17" fillId="0" borderId="37" xfId="0" applyNumberFormat="1" applyFont="1" applyBorder="1" applyAlignment="1">
      <alignment vertical="center" shrinkToFit="1"/>
    </xf>
    <xf numFmtId="179" fontId="17" fillId="0" borderId="57" xfId="0" applyNumberFormat="1" applyFont="1" applyBorder="1" applyAlignment="1">
      <alignment vertical="center" shrinkToFit="1"/>
    </xf>
    <xf numFmtId="179" fontId="17" fillId="0" borderId="34" xfId="0" applyNumberFormat="1" applyFont="1" applyBorder="1" applyAlignment="1">
      <alignment horizontal="right" vertical="center" shrinkToFit="1"/>
    </xf>
    <xf numFmtId="179" fontId="17" fillId="0" borderId="62" xfId="0" applyNumberFormat="1" applyFont="1" applyBorder="1" applyAlignment="1">
      <alignment vertical="center" shrinkToFit="1"/>
    </xf>
    <xf numFmtId="0" fontId="24" fillId="0" borderId="0" xfId="0" applyFont="1" applyBorder="1" applyAlignment="1" applyProtection="1">
      <alignment vertical="center" wrapText="1"/>
    </xf>
    <xf numFmtId="0" fontId="24" fillId="0" borderId="207" xfId="0" applyFont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0" fontId="26" fillId="18" borderId="12" xfId="0" applyFont="1" applyFill="1" applyBorder="1" applyProtection="1">
      <protection locked="0"/>
    </xf>
    <xf numFmtId="0" fontId="13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Alignment="1" applyProtection="1">
      <alignment horizontal="righ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 applyProtection="1">
      <alignment vertical="center"/>
    </xf>
    <xf numFmtId="0" fontId="13" fillId="0" borderId="0" xfId="0" applyFont="1" applyBorder="1" applyAlignment="1" applyProtection="1">
      <alignment vertical="center"/>
    </xf>
    <xf numFmtId="177" fontId="5" fillId="5" borderId="0" xfId="0" applyNumberFormat="1" applyFont="1" applyFill="1" applyBorder="1" applyAlignment="1" applyProtection="1">
      <alignment vertical="center" shrinkToFit="1"/>
    </xf>
    <xf numFmtId="0" fontId="40" fillId="17" borderId="211" xfId="0" applyFont="1" applyFill="1" applyBorder="1" applyAlignment="1" applyProtection="1">
      <alignment horizontal="center" vertical="center" wrapText="1"/>
    </xf>
    <xf numFmtId="0" fontId="40" fillId="17" borderId="212" xfId="0" applyFont="1" applyFill="1" applyBorder="1" applyAlignment="1" applyProtection="1">
      <alignment horizontal="center" vertical="center" shrinkToFit="1"/>
    </xf>
    <xf numFmtId="0" fontId="40" fillId="17" borderId="213" xfId="0" applyFont="1" applyFill="1" applyBorder="1" applyAlignment="1" applyProtection="1">
      <alignment horizontal="center" vertical="center" shrinkToFit="1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13" fillId="19" borderId="214" xfId="0" applyFont="1" applyFill="1" applyBorder="1" applyAlignment="1" applyProtection="1">
      <alignment horizontal="center" vertical="center" wrapText="1"/>
    </xf>
    <xf numFmtId="0" fontId="13" fillId="19" borderId="38" xfId="0" applyFont="1" applyFill="1" applyBorder="1" applyAlignment="1" applyProtection="1">
      <alignment horizontal="center" vertical="center" wrapText="1"/>
    </xf>
    <xf numFmtId="0" fontId="3" fillId="19" borderId="38" xfId="0" applyFont="1" applyFill="1" applyBorder="1" applyAlignment="1">
      <alignment horizontal="center" vertical="center" shrinkToFit="1"/>
    </xf>
    <xf numFmtId="177" fontId="13" fillId="19" borderId="65" xfId="0" applyNumberFormat="1" applyFont="1" applyFill="1" applyBorder="1" applyAlignment="1" applyProtection="1">
      <alignment horizontal="center" vertical="center" shrinkToFit="1"/>
    </xf>
    <xf numFmtId="0" fontId="3" fillId="0" borderId="215" xfId="0" applyFont="1" applyBorder="1" applyAlignment="1">
      <alignment vertical="center"/>
    </xf>
    <xf numFmtId="178" fontId="4" fillId="0" borderId="73" xfId="0" applyNumberFormat="1" applyFont="1" applyBorder="1" applyAlignment="1" applyProtection="1">
      <alignment vertical="center" shrinkToFit="1"/>
      <protection locked="0"/>
    </xf>
    <xf numFmtId="190" fontId="3" fillId="0" borderId="73" xfId="0" applyNumberFormat="1" applyFont="1" applyBorder="1" applyAlignment="1">
      <alignment horizontal="center" vertical="center" shrinkToFit="1"/>
    </xf>
    <xf numFmtId="49" fontId="41" fillId="21" borderId="0" xfId="0" applyNumberFormat="1" applyFont="1" applyFill="1" applyAlignment="1">
      <alignment vertical="center"/>
    </xf>
    <xf numFmtId="0" fontId="41" fillId="21" borderId="0" xfId="0" applyFont="1" applyFill="1" applyAlignment="1">
      <alignment vertical="center"/>
    </xf>
    <xf numFmtId="0" fontId="13" fillId="0" borderId="216" xfId="0" applyFont="1" applyBorder="1" applyAlignment="1" applyProtection="1">
      <alignment vertical="center" shrinkToFit="1"/>
      <protection locked="0"/>
    </xf>
    <xf numFmtId="178" fontId="4" fillId="0" borderId="76" xfId="0" applyNumberFormat="1" applyFont="1" applyBorder="1" applyAlignment="1" applyProtection="1">
      <alignment vertical="center" shrinkToFit="1"/>
      <protection locked="0"/>
    </xf>
    <xf numFmtId="190" fontId="3" fillId="0" borderId="76" xfId="0" applyNumberFormat="1" applyFont="1" applyBorder="1" applyAlignment="1">
      <alignment horizontal="center" vertical="center" shrinkToFit="1"/>
    </xf>
    <xf numFmtId="0" fontId="0" fillId="0" borderId="218" xfId="0" applyBorder="1" applyAlignment="1">
      <alignment vertical="center" shrinkToFit="1"/>
    </xf>
    <xf numFmtId="0" fontId="3" fillId="0" borderId="219" xfId="0" applyFont="1" applyBorder="1" applyAlignment="1" applyProtection="1">
      <alignment vertical="center"/>
      <protection locked="0"/>
    </xf>
    <xf numFmtId="0" fontId="28" fillId="0" borderId="220" xfId="0" applyFont="1" applyBorder="1" applyAlignment="1" applyProtection="1">
      <alignment horizontal="center" vertical="center" wrapText="1"/>
      <protection locked="0"/>
    </xf>
    <xf numFmtId="0" fontId="3" fillId="0" borderId="221" xfId="0" applyFont="1" applyBorder="1" applyAlignment="1" applyProtection="1">
      <alignment vertical="center"/>
      <protection locked="0"/>
    </xf>
    <xf numFmtId="0" fontId="3" fillId="0" borderId="218" xfId="0" applyFont="1" applyBorder="1" applyAlignment="1" applyProtection="1">
      <alignment vertical="center"/>
      <protection locked="0"/>
    </xf>
    <xf numFmtId="0" fontId="3" fillId="0" borderId="221" xfId="0" applyFont="1" applyBorder="1" applyAlignment="1">
      <alignment vertical="center"/>
    </xf>
    <xf numFmtId="0" fontId="3" fillId="0" borderId="222" xfId="0" applyFont="1" applyBorder="1" applyAlignment="1">
      <alignment vertical="center"/>
    </xf>
    <xf numFmtId="0" fontId="0" fillId="0" borderId="223" xfId="0" applyBorder="1"/>
    <xf numFmtId="0" fontId="13" fillId="21" borderId="0" xfId="0" applyFont="1" applyFill="1" applyBorder="1" applyAlignment="1">
      <alignment horizontal="right"/>
    </xf>
    <xf numFmtId="0" fontId="13" fillId="21" borderId="0" xfId="0" applyFont="1" applyFill="1" applyBorder="1" applyAlignment="1">
      <alignment horizontal="center"/>
    </xf>
    <xf numFmtId="0" fontId="11" fillId="21" borderId="0" xfId="0" applyFont="1" applyFill="1" applyBorder="1" applyAlignment="1">
      <alignment horizontal="left"/>
    </xf>
    <xf numFmtId="0" fontId="11" fillId="21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0" fontId="3" fillId="21" borderId="0" xfId="0" applyFont="1" applyFill="1" applyBorder="1" applyAlignment="1"/>
    <xf numFmtId="0" fontId="13" fillId="17" borderId="0" xfId="0" applyFont="1" applyFill="1" applyBorder="1" applyAlignment="1">
      <alignment horizontal="center" shrinkToFit="1"/>
    </xf>
    <xf numFmtId="0" fontId="13" fillId="21" borderId="151" xfId="0" applyFont="1" applyFill="1" applyBorder="1" applyAlignment="1">
      <alignment horizontal="center"/>
    </xf>
    <xf numFmtId="0" fontId="3" fillId="21" borderId="151" xfId="0" applyFont="1" applyFill="1" applyBorder="1" applyAlignment="1">
      <alignment horizontal="right"/>
    </xf>
    <xf numFmtId="0" fontId="13" fillId="22" borderId="152" xfId="0" applyFont="1" applyFill="1" applyBorder="1" applyAlignment="1">
      <alignment horizontal="center" shrinkToFit="1"/>
    </xf>
    <xf numFmtId="0" fontId="3" fillId="21" borderId="226" xfId="0" applyFont="1" applyFill="1" applyBorder="1" applyAlignment="1">
      <alignment horizontal="right"/>
    </xf>
    <xf numFmtId="0" fontId="3" fillId="21" borderId="0" xfId="0" applyFont="1" applyFill="1" applyBorder="1" applyAlignment="1">
      <alignment horizontal="right"/>
    </xf>
    <xf numFmtId="0" fontId="3" fillId="21" borderId="0" xfId="0" applyFont="1" applyFill="1" applyBorder="1" applyAlignment="1">
      <alignment horizontal="center" vertical="center"/>
    </xf>
    <xf numFmtId="0" fontId="3" fillId="21" borderId="227" xfId="0" applyFont="1" applyFill="1" applyBorder="1" applyAlignment="1"/>
    <xf numFmtId="0" fontId="44" fillId="21" borderId="227" xfId="0" applyFont="1" applyFill="1" applyBorder="1" applyAlignment="1"/>
    <xf numFmtId="0" fontId="3" fillId="21" borderId="151" xfId="0" applyFont="1" applyFill="1" applyBorder="1" applyAlignment="1">
      <alignment horizontal="center"/>
    </xf>
    <xf numFmtId="38" fontId="3" fillId="21" borderId="151" xfId="0" applyNumberFormat="1" applyFont="1" applyFill="1" applyBorder="1" applyAlignment="1">
      <alignment horizontal="right"/>
    </xf>
    <xf numFmtId="38" fontId="3" fillId="17" borderId="152" xfId="0" applyNumberFormat="1" applyFont="1" applyFill="1" applyBorder="1" applyAlignment="1">
      <alignment horizontal="right" shrinkToFit="1"/>
    </xf>
    <xf numFmtId="0" fontId="45" fillId="0" borderId="0" xfId="0" applyFont="1" applyFill="1" applyBorder="1" applyAlignment="1"/>
    <xf numFmtId="0" fontId="45" fillId="21" borderId="0" xfId="0" applyFont="1" applyFill="1" applyBorder="1" applyAlignment="1"/>
    <xf numFmtId="0" fontId="3" fillId="21" borderId="0" xfId="0" applyFont="1" applyFill="1" applyBorder="1" applyAlignment="1">
      <alignment horizontal="left" vertical="center"/>
    </xf>
    <xf numFmtId="0" fontId="3" fillId="21" borderId="156" xfId="0" applyFont="1" applyFill="1" applyBorder="1" applyAlignment="1"/>
    <xf numFmtId="0" fontId="44" fillId="21" borderId="156" xfId="0" applyFont="1" applyFill="1" applyBorder="1" applyAlignment="1"/>
    <xf numFmtId="0" fontId="3" fillId="21" borderId="95" xfId="0" applyFont="1" applyFill="1" applyBorder="1" applyAlignment="1">
      <alignment horizontal="right"/>
    </xf>
    <xf numFmtId="38" fontId="3" fillId="21" borderId="95" xfId="0" applyNumberFormat="1" applyFont="1" applyFill="1" applyBorder="1" applyAlignment="1">
      <alignment horizontal="right"/>
    </xf>
    <xf numFmtId="38" fontId="3" fillId="0" borderId="99" xfId="0" applyNumberFormat="1" applyFont="1" applyFill="1" applyBorder="1" applyAlignment="1">
      <alignment horizontal="right" shrinkToFit="1"/>
    </xf>
    <xf numFmtId="0" fontId="3" fillId="0" borderId="228" xfId="0" applyFont="1" applyFill="1" applyBorder="1" applyAlignment="1"/>
    <xf numFmtId="0" fontId="44" fillId="0" borderId="228" xfId="0" applyFont="1" applyFill="1" applyBorder="1" applyAlignment="1"/>
    <xf numFmtId="0" fontId="3" fillId="0" borderId="121" xfId="0" applyFont="1" applyFill="1" applyBorder="1" applyAlignment="1">
      <alignment horizontal="right"/>
    </xf>
    <xf numFmtId="38" fontId="3" fillId="0" borderId="95" xfId="0" applyNumberFormat="1" applyFont="1" applyFill="1" applyBorder="1" applyAlignment="1">
      <alignment horizontal="right"/>
    </xf>
    <xf numFmtId="38" fontId="3" fillId="0" borderId="204" xfId="1" applyFont="1" applyFill="1" applyBorder="1" applyAlignment="1">
      <alignment horizontal="right"/>
    </xf>
    <xf numFmtId="0" fontId="3" fillId="21" borderId="203" xfId="0" applyFont="1" applyFill="1" applyBorder="1" applyAlignment="1"/>
    <xf numFmtId="0" fontId="44" fillId="21" borderId="203" xfId="0" applyFont="1" applyFill="1" applyBorder="1" applyAlignment="1"/>
    <xf numFmtId="0" fontId="3" fillId="0" borderId="85" xfId="0" applyFont="1" applyFill="1" applyBorder="1" applyAlignment="1">
      <alignment horizontal="right"/>
    </xf>
    <xf numFmtId="38" fontId="3" fillId="0" borderId="89" xfId="0" applyNumberFormat="1" applyFont="1" applyFill="1" applyBorder="1" applyAlignment="1">
      <alignment horizontal="right"/>
    </xf>
    <xf numFmtId="38" fontId="3" fillId="0" borderId="98" xfId="1" applyFont="1" applyFill="1" applyBorder="1" applyAlignment="1">
      <alignment horizontal="right"/>
    </xf>
    <xf numFmtId="0" fontId="3" fillId="21" borderId="229" xfId="0" applyFont="1" applyFill="1" applyBorder="1" applyAlignment="1">
      <alignment horizontal="right" vertical="center" textRotation="255"/>
    </xf>
    <xf numFmtId="0" fontId="3" fillId="0" borderId="82" xfId="0" applyFont="1" applyFill="1" applyBorder="1" applyAlignment="1">
      <alignment horizontal="right"/>
    </xf>
    <xf numFmtId="0" fontId="0" fillId="0" borderId="228" xfId="0" applyBorder="1" applyAlignment="1">
      <alignment horizontal="right" vertical="center" textRotation="255"/>
    </xf>
    <xf numFmtId="0" fontId="3" fillId="0" borderId="23" xfId="0" applyFont="1" applyFill="1" applyBorder="1" applyAlignment="1">
      <alignment horizontal="right"/>
    </xf>
    <xf numFmtId="0" fontId="3" fillId="0" borderId="86" xfId="0" applyFont="1" applyFill="1" applyBorder="1" applyAlignment="1">
      <alignment horizontal="right"/>
    </xf>
    <xf numFmtId="0" fontId="3" fillId="21" borderId="228" xfId="0" applyFont="1" applyFill="1" applyBorder="1" applyAlignment="1">
      <alignment horizontal="right" vertical="center" textRotation="255"/>
    </xf>
    <xf numFmtId="38" fontId="3" fillId="0" borderId="82" xfId="0" applyNumberFormat="1" applyFont="1" applyFill="1" applyBorder="1" applyAlignment="1">
      <alignment horizontal="right"/>
    </xf>
    <xf numFmtId="38" fontId="3" fillId="0" borderId="200" xfId="0" applyNumberFormat="1" applyFont="1" applyFill="1" applyBorder="1" applyAlignment="1">
      <alignment horizontal="right" shrinkToFit="1"/>
    </xf>
    <xf numFmtId="38" fontId="3" fillId="0" borderId="23" xfId="0" applyNumberFormat="1" applyFont="1" applyFill="1" applyBorder="1" applyAlignment="1">
      <alignment horizontal="right"/>
    </xf>
    <xf numFmtId="38" fontId="3" fillId="0" borderId="122" xfId="1" applyFont="1" applyFill="1" applyBorder="1" applyAlignment="1">
      <alignment horizontal="right"/>
    </xf>
    <xf numFmtId="0" fontId="0" fillId="0" borderId="205" xfId="0" applyBorder="1" applyAlignment="1">
      <alignment horizontal="right" vertical="center" textRotation="255"/>
    </xf>
    <xf numFmtId="0" fontId="3" fillId="0" borderId="86" xfId="0" applyFont="1" applyFill="1" applyBorder="1" applyAlignment="1">
      <alignment horizontal="right" shrinkToFit="1"/>
    </xf>
    <xf numFmtId="38" fontId="3" fillId="0" borderId="85" xfId="0" applyNumberFormat="1" applyFont="1" applyFill="1" applyBorder="1" applyAlignment="1">
      <alignment horizontal="right"/>
    </xf>
    <xf numFmtId="0" fontId="3" fillId="21" borderId="0" xfId="0" applyFont="1" applyFill="1" applyBorder="1" applyAlignment="1">
      <alignment horizontal="distributed" vertical="center"/>
    </xf>
    <xf numFmtId="38" fontId="3" fillId="0" borderId="152" xfId="0" applyNumberFormat="1" applyFont="1" applyFill="1" applyBorder="1" applyAlignment="1">
      <alignment horizontal="right" shrinkToFit="1"/>
    </xf>
    <xf numFmtId="0" fontId="3" fillId="21" borderId="140" xfId="0" applyFont="1" applyFill="1" applyBorder="1" applyAlignment="1"/>
    <xf numFmtId="0" fontId="44" fillId="21" borderId="140" xfId="0" applyFont="1" applyFill="1" applyBorder="1" applyAlignment="1"/>
    <xf numFmtId="0" fontId="3" fillId="21" borderId="23" xfId="0" applyFont="1" applyFill="1" applyBorder="1" applyAlignment="1">
      <alignment horizontal="right"/>
    </xf>
    <xf numFmtId="38" fontId="3" fillId="21" borderId="23" xfId="0" applyNumberFormat="1" applyFont="1" applyFill="1" applyBorder="1" applyAlignment="1">
      <alignment horizontal="right"/>
    </xf>
    <xf numFmtId="38" fontId="3" fillId="17" borderId="31" xfId="0" applyNumberFormat="1" applyFont="1" applyFill="1" applyBorder="1" applyAlignment="1">
      <alignment horizontal="right" shrinkToFit="1"/>
    </xf>
    <xf numFmtId="0" fontId="3" fillId="21" borderId="85" xfId="0" applyFont="1" applyFill="1" applyBorder="1" applyAlignment="1">
      <alignment horizontal="right"/>
    </xf>
    <xf numFmtId="38" fontId="3" fillId="21" borderId="85" xfId="0" applyNumberFormat="1" applyFont="1" applyFill="1" applyBorder="1" applyAlignment="1">
      <alignment horizontal="right"/>
    </xf>
    <xf numFmtId="38" fontId="3" fillId="17" borderId="98" xfId="0" applyNumberFormat="1" applyFont="1" applyFill="1" applyBorder="1" applyAlignment="1">
      <alignment horizontal="right" shrinkToFit="1"/>
    </xf>
    <xf numFmtId="0" fontId="46" fillId="21" borderId="0" xfId="0" applyFont="1" applyFill="1" applyBorder="1" applyAlignment="1"/>
    <xf numFmtId="0" fontId="46" fillId="21" borderId="230" xfId="0" applyFont="1" applyFill="1" applyBorder="1" applyAlignment="1">
      <alignment horizontal="right"/>
    </xf>
    <xf numFmtId="0" fontId="46" fillId="21" borderId="87" xfId="0" applyFont="1" applyFill="1" applyBorder="1" applyAlignment="1">
      <alignment horizontal="right"/>
    </xf>
    <xf numFmtId="0" fontId="3" fillId="21" borderId="87" xfId="0" applyFont="1" applyFill="1" applyBorder="1" applyAlignment="1">
      <alignment horizontal="left" vertical="center"/>
    </xf>
    <xf numFmtId="0" fontId="3" fillId="21" borderId="87" xfId="0" applyFont="1" applyFill="1" applyBorder="1" applyAlignment="1">
      <alignment horizontal="left"/>
    </xf>
    <xf numFmtId="0" fontId="46" fillId="21" borderId="151" xfId="0" applyFont="1" applyFill="1" applyBorder="1" applyAlignment="1">
      <alignment horizontal="right"/>
    </xf>
    <xf numFmtId="0" fontId="3" fillId="21" borderId="89" xfId="0" applyFont="1" applyFill="1" applyBorder="1" applyAlignment="1">
      <alignment horizontal="center"/>
    </xf>
    <xf numFmtId="38" fontId="3" fillId="21" borderId="89" xfId="0" applyNumberFormat="1" applyFont="1" applyFill="1" applyBorder="1" applyAlignment="1">
      <alignment horizontal="right" shrinkToFit="1"/>
    </xf>
    <xf numFmtId="38" fontId="3" fillId="21" borderId="100" xfId="0" applyNumberFormat="1" applyFont="1" applyFill="1" applyBorder="1" applyAlignment="1">
      <alignment horizontal="right" shrinkToFit="1"/>
    </xf>
    <xf numFmtId="0" fontId="46" fillId="0" borderId="0" xfId="0" applyFont="1" applyFill="1" applyBorder="1" applyAlignment="1"/>
    <xf numFmtId="0" fontId="46" fillId="21" borderId="15" xfId="0" applyFont="1" applyFill="1" applyBorder="1" applyAlignment="1">
      <alignment horizontal="right"/>
    </xf>
    <xf numFmtId="0" fontId="44" fillId="21" borderId="224" xfId="0" applyFont="1" applyFill="1" applyBorder="1" applyAlignment="1">
      <alignment horizontal="left"/>
    </xf>
    <xf numFmtId="0" fontId="46" fillId="21" borderId="225" xfId="0" applyFont="1" applyFill="1" applyBorder="1" applyAlignment="1">
      <alignment horizontal="right"/>
    </xf>
    <xf numFmtId="0" fontId="45" fillId="21" borderId="225" xfId="0" applyFont="1" applyFill="1" applyBorder="1" applyAlignment="1">
      <alignment horizontal="distributed"/>
    </xf>
    <xf numFmtId="0" fontId="3" fillId="21" borderId="231" xfId="0" applyFont="1" applyFill="1" applyBorder="1" applyAlignment="1">
      <alignment horizontal="center"/>
    </xf>
    <xf numFmtId="0" fontId="3" fillId="0" borderId="231" xfId="0" applyFont="1" applyFill="1" applyBorder="1" applyAlignment="1">
      <alignment horizontal="right"/>
    </xf>
    <xf numFmtId="38" fontId="3" fillId="0" borderId="232" xfId="0" applyNumberFormat="1" applyFont="1" applyFill="1" applyBorder="1" applyAlignment="1">
      <alignment horizontal="center" shrinkToFit="1"/>
    </xf>
    <xf numFmtId="0" fontId="44" fillId="21" borderId="230" xfId="0" applyFont="1" applyFill="1" applyBorder="1" applyAlignment="1">
      <alignment horizontal="left" vertical="center"/>
    </xf>
    <xf numFmtId="0" fontId="0" fillId="21" borderId="89" xfId="0" applyFont="1" applyFill="1" applyBorder="1" applyAlignment="1">
      <alignment horizontal="center"/>
    </xf>
    <xf numFmtId="0" fontId="3" fillId="21" borderId="89" xfId="0" applyFont="1" applyFill="1" applyBorder="1" applyAlignment="1">
      <alignment horizontal="right"/>
    </xf>
    <xf numFmtId="38" fontId="3" fillId="22" borderId="100" xfId="0" applyNumberFormat="1" applyFont="1" applyFill="1" applyBorder="1" applyAlignment="1">
      <alignment horizontal="center" shrinkToFit="1"/>
    </xf>
    <xf numFmtId="0" fontId="3" fillId="21" borderId="0" xfId="0" applyFont="1" applyFill="1" applyBorder="1" applyAlignment="1">
      <alignment horizontal="left"/>
    </xf>
    <xf numFmtId="49" fontId="3" fillId="21" borderId="141" xfId="0" applyNumberFormat="1" applyFont="1" applyFill="1" applyBorder="1" applyAlignment="1">
      <alignment horizontal="right"/>
    </xf>
    <xf numFmtId="0" fontId="3" fillId="21" borderId="233" xfId="0" applyFont="1" applyFill="1" applyBorder="1" applyAlignment="1">
      <alignment horizontal="left"/>
    </xf>
    <xf numFmtId="0" fontId="3" fillId="21" borderId="233" xfId="0" applyFont="1" applyFill="1" applyBorder="1" applyAlignment="1">
      <alignment horizontal="center"/>
    </xf>
    <xf numFmtId="0" fontId="3" fillId="21" borderId="82" xfId="0" applyFont="1" applyFill="1" applyBorder="1" applyAlignment="1">
      <alignment horizontal="left" shrinkToFit="1"/>
    </xf>
    <xf numFmtId="38" fontId="13" fillId="21" borderId="82" xfId="0" applyNumberFormat="1" applyFont="1" applyFill="1" applyBorder="1" applyAlignment="1">
      <alignment horizontal="right"/>
    </xf>
    <xf numFmtId="49" fontId="3" fillId="21" borderId="142" xfId="0" applyNumberFormat="1" applyFont="1" applyFill="1" applyBorder="1" applyAlignment="1">
      <alignment horizontal="right"/>
    </xf>
    <xf numFmtId="0" fontId="3" fillId="21" borderId="140" xfId="0" applyFont="1" applyFill="1" applyBorder="1" applyAlignment="1">
      <alignment horizontal="left"/>
    </xf>
    <xf numFmtId="0" fontId="3" fillId="21" borderId="140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left" shrinkToFit="1"/>
    </xf>
    <xf numFmtId="38" fontId="13" fillId="21" borderId="23" xfId="0" applyNumberFormat="1" applyFont="1" applyFill="1" applyBorder="1" applyAlignment="1">
      <alignment horizontal="right"/>
    </xf>
    <xf numFmtId="38" fontId="3" fillId="23" borderId="31" xfId="0" applyNumberFormat="1" applyFont="1" applyFill="1" applyBorder="1" applyAlignment="1">
      <alignment horizontal="right" shrinkToFit="1"/>
    </xf>
    <xf numFmtId="0" fontId="3" fillId="21" borderId="140" xfId="0" applyFont="1" applyFill="1" applyBorder="1" applyAlignment="1">
      <alignment horizontal="right"/>
    </xf>
    <xf numFmtId="0" fontId="3" fillId="0" borderId="23" xfId="0" applyFont="1" applyFill="1" applyBorder="1" applyAlignment="1">
      <alignment horizontal="left" shrinkToFit="1"/>
    </xf>
    <xf numFmtId="38" fontId="13" fillId="0" borderId="23" xfId="0" applyNumberFormat="1" applyFont="1" applyFill="1" applyBorder="1" applyAlignment="1">
      <alignment horizontal="right"/>
    </xf>
    <xf numFmtId="38" fontId="3" fillId="0" borderId="31" xfId="0" applyNumberFormat="1" applyFont="1" applyFill="1" applyBorder="1" applyAlignment="1">
      <alignment horizontal="right" shrinkToFit="1"/>
    </xf>
    <xf numFmtId="0" fontId="3" fillId="21" borderId="140" xfId="0" applyFont="1" applyFill="1" applyBorder="1" applyAlignment="1">
      <alignment horizontal="center" shrinkToFit="1"/>
    </xf>
    <xf numFmtId="49" fontId="3" fillId="23" borderId="141" xfId="0" applyNumberFormat="1" applyFont="1" applyFill="1" applyBorder="1" applyAlignment="1">
      <alignment horizontal="right"/>
    </xf>
    <xf numFmtId="0" fontId="3" fillId="23" borderId="140" xfId="0" applyFont="1" applyFill="1" applyBorder="1" applyAlignment="1">
      <alignment horizontal="left"/>
    </xf>
    <xf numFmtId="0" fontId="3" fillId="23" borderId="140" xfId="0" applyFont="1" applyFill="1" applyBorder="1" applyAlignment="1">
      <alignment horizontal="center" shrinkToFit="1"/>
    </xf>
    <xf numFmtId="0" fontId="3" fillId="23" borderId="23" xfId="0" applyFont="1" applyFill="1" applyBorder="1" applyAlignment="1">
      <alignment horizontal="left" shrinkToFit="1"/>
    </xf>
    <xf numFmtId="38" fontId="13" fillId="23" borderId="23" xfId="0" applyNumberFormat="1" applyFont="1" applyFill="1" applyBorder="1" applyAlignment="1">
      <alignment horizontal="right"/>
    </xf>
    <xf numFmtId="0" fontId="3" fillId="21" borderId="14" xfId="0" applyFont="1" applyFill="1" applyBorder="1" applyAlignment="1">
      <alignment horizontal="right"/>
    </xf>
    <xf numFmtId="0" fontId="3" fillId="21" borderId="15" xfId="0" applyFont="1" applyFill="1" applyBorder="1" applyAlignment="1">
      <alignment horizontal="left"/>
    </xf>
    <xf numFmtId="0" fontId="3" fillId="21" borderId="151" xfId="0" applyFont="1" applyFill="1" applyBorder="1" applyAlignment="1">
      <alignment horizontal="left"/>
    </xf>
    <xf numFmtId="0" fontId="44" fillId="21" borderId="151" xfId="0" applyFont="1" applyFill="1" applyBorder="1" applyAlignment="1">
      <alignment horizontal="right"/>
    </xf>
    <xf numFmtId="38" fontId="13" fillId="21" borderId="151" xfId="0" applyNumberFormat="1" applyFont="1" applyFill="1" applyBorder="1" applyAlignment="1">
      <alignment horizontal="right"/>
    </xf>
    <xf numFmtId="38" fontId="3" fillId="21" borderId="152" xfId="0" applyNumberFormat="1" applyFont="1" applyFill="1" applyBorder="1" applyAlignment="1">
      <alignment horizontal="right" shrinkToFit="1"/>
    </xf>
    <xf numFmtId="38" fontId="3" fillId="0" borderId="100" xfId="0" applyNumberFormat="1" applyFont="1" applyFill="1" applyBorder="1" applyAlignment="1">
      <alignment horizontal="center" shrinkToFit="1"/>
    </xf>
    <xf numFmtId="49" fontId="3" fillId="21" borderId="139" xfId="0" applyNumberFormat="1" applyFont="1" applyFill="1" applyBorder="1" applyAlignment="1">
      <alignment horizontal="right"/>
    </xf>
    <xf numFmtId="0" fontId="3" fillId="21" borderId="201" xfId="0" applyFont="1" applyFill="1" applyBorder="1" applyAlignment="1">
      <alignment horizontal="left"/>
    </xf>
    <xf numFmtId="0" fontId="3" fillId="21" borderId="201" xfId="0" applyFont="1" applyFill="1" applyBorder="1" applyAlignment="1">
      <alignment horizontal="center"/>
    </xf>
    <xf numFmtId="0" fontId="3" fillId="21" borderId="120" xfId="0" applyFont="1" applyFill="1" applyBorder="1" applyAlignment="1">
      <alignment horizontal="left" shrinkToFit="1"/>
    </xf>
    <xf numFmtId="38" fontId="13" fillId="21" borderId="120" xfId="0" applyNumberFormat="1" applyFont="1" applyFill="1" applyBorder="1" applyAlignment="1">
      <alignment horizontal="right"/>
    </xf>
    <xf numFmtId="38" fontId="3" fillId="23" borderId="122" xfId="0" applyNumberFormat="1" applyFont="1" applyFill="1" applyBorder="1" applyAlignment="1">
      <alignment horizontal="right" shrinkToFit="1"/>
    </xf>
    <xf numFmtId="0" fontId="3" fillId="21" borderId="225" xfId="0" applyFont="1" applyFill="1" applyBorder="1" applyAlignment="1">
      <alignment horizontal="right"/>
    </xf>
    <xf numFmtId="0" fontId="3" fillId="21" borderId="229" xfId="0" applyFont="1" applyFill="1" applyBorder="1" applyAlignment="1">
      <alignment horizontal="left"/>
    </xf>
    <xf numFmtId="0" fontId="3" fillId="21" borderId="229" xfId="0" applyFont="1" applyFill="1" applyBorder="1" applyAlignment="1">
      <alignment horizontal="center"/>
    </xf>
    <xf numFmtId="0" fontId="3" fillId="21" borderId="231" xfId="0" applyFont="1" applyFill="1" applyBorder="1" applyAlignment="1">
      <alignment horizontal="left" shrinkToFit="1"/>
    </xf>
    <xf numFmtId="38" fontId="13" fillId="21" borderId="231" xfId="0" applyNumberFormat="1" applyFont="1" applyFill="1" applyBorder="1" applyAlignment="1">
      <alignment horizontal="right"/>
    </xf>
    <xf numFmtId="38" fontId="3" fillId="21" borderId="232" xfId="0" applyNumberFormat="1" applyFont="1" applyFill="1" applyBorder="1" applyAlignment="1">
      <alignment horizontal="center" shrinkToFit="1"/>
    </xf>
    <xf numFmtId="0" fontId="3" fillId="21" borderId="87" xfId="0" applyFont="1" applyFill="1" applyBorder="1" applyAlignment="1">
      <alignment horizontal="right"/>
    </xf>
    <xf numFmtId="0" fontId="3" fillId="21" borderId="205" xfId="0" applyFont="1" applyFill="1" applyBorder="1" applyAlignment="1">
      <alignment horizontal="left"/>
    </xf>
    <xf numFmtId="0" fontId="3" fillId="21" borderId="205" xfId="0" applyFont="1" applyFill="1" applyBorder="1" applyAlignment="1">
      <alignment horizontal="center"/>
    </xf>
    <xf numFmtId="0" fontId="3" fillId="21" borderId="89" xfId="0" applyFont="1" applyFill="1" applyBorder="1" applyAlignment="1">
      <alignment horizontal="left" shrinkToFit="1"/>
    </xf>
    <xf numFmtId="38" fontId="3" fillId="22" borderId="100" xfId="0" applyNumberFormat="1" applyFont="1" applyFill="1" applyBorder="1" applyAlignment="1">
      <alignment horizontal="right" shrinkToFit="1"/>
    </xf>
    <xf numFmtId="0" fontId="3" fillId="21" borderId="156" xfId="0" applyFont="1" applyFill="1" applyBorder="1" applyAlignment="1">
      <alignment horizontal="left"/>
    </xf>
    <xf numFmtId="0" fontId="3" fillId="21" borderId="156" xfId="0" applyFont="1" applyFill="1" applyBorder="1" applyAlignment="1">
      <alignment horizontal="center"/>
    </xf>
    <xf numFmtId="0" fontId="3" fillId="21" borderId="95" xfId="0" applyFont="1" applyFill="1" applyBorder="1" applyAlignment="1">
      <alignment horizontal="left" shrinkToFit="1"/>
    </xf>
    <xf numFmtId="38" fontId="13" fillId="0" borderId="95" xfId="0" applyNumberFormat="1" applyFont="1" applyFill="1" applyBorder="1" applyAlignment="1">
      <alignment horizontal="right"/>
    </xf>
    <xf numFmtId="0" fontId="44" fillId="21" borderId="0" xfId="0" applyFont="1" applyFill="1" applyBorder="1" applyAlignment="1">
      <alignment horizontal="right"/>
    </xf>
    <xf numFmtId="38" fontId="13" fillId="21" borderId="0" xfId="0" applyNumberFormat="1" applyFont="1" applyFill="1" applyBorder="1" applyAlignment="1">
      <alignment horizontal="right"/>
    </xf>
    <xf numFmtId="38" fontId="3" fillId="21" borderId="234" xfId="0" applyNumberFormat="1" applyFont="1" applyFill="1" applyBorder="1" applyAlignment="1">
      <alignment horizontal="right" shrinkToFit="1"/>
    </xf>
    <xf numFmtId="0" fontId="44" fillId="21" borderId="87" xfId="0" applyFont="1" applyFill="1" applyBorder="1" applyAlignment="1">
      <alignment horizontal="right"/>
    </xf>
    <xf numFmtId="38" fontId="13" fillId="21" borderId="87" xfId="0" applyNumberFormat="1" applyFont="1" applyFill="1" applyBorder="1" applyAlignment="1">
      <alignment horizontal="right"/>
    </xf>
    <xf numFmtId="38" fontId="3" fillId="21" borderId="235" xfId="0" applyNumberFormat="1" applyFont="1" applyFill="1" applyBorder="1" applyAlignment="1">
      <alignment horizontal="right" shrinkToFit="1"/>
    </xf>
    <xf numFmtId="0" fontId="44" fillId="21" borderId="224" xfId="0" applyFont="1" applyFill="1" applyBorder="1" applyAlignment="1">
      <alignment horizontal="left" vertical="center"/>
    </xf>
    <xf numFmtId="0" fontId="3" fillId="21" borderId="141" xfId="0" applyFont="1" applyFill="1" applyBorder="1" applyAlignment="1"/>
    <xf numFmtId="0" fontId="3" fillId="21" borderId="82" xfId="0" applyFont="1" applyFill="1" applyBorder="1" applyAlignment="1">
      <alignment horizontal="left"/>
    </xf>
    <xf numFmtId="0" fontId="3" fillId="21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left"/>
    </xf>
    <xf numFmtId="0" fontId="3" fillId="0" borderId="140" xfId="0" applyFont="1" applyFill="1" applyBorder="1" applyAlignment="1">
      <alignment horizontal="left"/>
    </xf>
    <xf numFmtId="0" fontId="3" fillId="21" borderId="142" xfId="0" applyFont="1" applyFill="1" applyBorder="1" applyAlignment="1">
      <alignment vertical="center"/>
    </xf>
    <xf numFmtId="0" fontId="3" fillId="21" borderId="142" xfId="0" quotePrefix="1" applyFont="1" applyFill="1" applyBorder="1" applyAlignment="1">
      <alignment vertical="center"/>
    </xf>
    <xf numFmtId="0" fontId="3" fillId="23" borderId="142" xfId="0" applyFont="1" applyFill="1" applyBorder="1" applyAlignment="1"/>
    <xf numFmtId="0" fontId="3" fillId="23" borderId="140" xfId="0" applyFont="1" applyFill="1" applyBorder="1" applyAlignment="1">
      <alignment horizontal="center"/>
    </xf>
    <xf numFmtId="0" fontId="3" fillId="23" borderId="23" xfId="0" applyFont="1" applyFill="1" applyBorder="1" applyAlignment="1">
      <alignment horizontal="left"/>
    </xf>
    <xf numFmtId="38" fontId="13" fillId="23" borderId="85" xfId="0" applyNumberFormat="1" applyFont="1" applyFill="1" applyBorder="1" applyAlignment="1">
      <alignment horizontal="right"/>
    </xf>
    <xf numFmtId="0" fontId="3" fillId="21" borderId="236" xfId="0" applyFont="1" applyFill="1" applyBorder="1" applyAlignment="1">
      <alignment horizontal="right"/>
    </xf>
    <xf numFmtId="0" fontId="3" fillId="21" borderId="237" xfId="0" applyFont="1" applyFill="1" applyBorder="1" applyAlignment="1">
      <alignment horizontal="left"/>
    </xf>
    <xf numFmtId="0" fontId="44" fillId="21" borderId="238" xfId="0" applyFont="1" applyFill="1" applyBorder="1" applyAlignment="1">
      <alignment horizontal="right"/>
    </xf>
    <xf numFmtId="38" fontId="13" fillId="21" borderId="238" xfId="0" applyNumberFormat="1" applyFont="1" applyFill="1" applyBorder="1" applyAlignment="1">
      <alignment horizontal="right"/>
    </xf>
    <xf numFmtId="38" fontId="3" fillId="21" borderId="239" xfId="0" applyNumberFormat="1" applyFont="1" applyFill="1" applyBorder="1" applyAlignment="1">
      <alignment horizontal="right" shrinkToFit="1"/>
    </xf>
    <xf numFmtId="0" fontId="3" fillId="21" borderId="240" xfId="0" applyFont="1" applyFill="1" applyBorder="1" applyAlignment="1">
      <alignment horizontal="right"/>
    </xf>
    <xf numFmtId="0" fontId="3" fillId="21" borderId="241" xfId="0" applyFont="1" applyFill="1" applyBorder="1" applyAlignment="1">
      <alignment horizontal="left"/>
    </xf>
    <xf numFmtId="0" fontId="44" fillId="21" borderId="242" xfId="0" applyFont="1" applyFill="1" applyBorder="1" applyAlignment="1">
      <alignment horizontal="right"/>
    </xf>
    <xf numFmtId="38" fontId="3" fillId="21" borderId="242" xfId="0" applyNumberFormat="1" applyFont="1" applyFill="1" applyBorder="1" applyAlignment="1">
      <alignment horizontal="right" shrinkToFit="1"/>
    </xf>
    <xf numFmtId="38" fontId="3" fillId="21" borderId="243" xfId="0" applyNumberFormat="1" applyFont="1" applyFill="1" applyBorder="1" applyAlignment="1">
      <alignment horizontal="right" shrinkToFit="1"/>
    </xf>
    <xf numFmtId="38" fontId="3" fillId="21" borderId="0" xfId="0" applyNumberFormat="1" applyFont="1" applyFill="1" applyBorder="1" applyAlignment="1">
      <alignment horizontal="right" shrinkToFit="1"/>
    </xf>
    <xf numFmtId="0" fontId="13" fillId="21" borderId="87" xfId="0" applyFont="1" applyFill="1" applyBorder="1" applyAlignment="1">
      <alignment horizontal="right"/>
    </xf>
    <xf numFmtId="0" fontId="13" fillId="21" borderId="0" xfId="0" applyFont="1" applyFill="1" applyBorder="1" applyAlignment="1">
      <alignment horizontal="left"/>
    </xf>
    <xf numFmtId="0" fontId="13" fillId="21" borderId="234" xfId="0" applyFont="1" applyFill="1" applyBorder="1" applyAlignment="1">
      <alignment horizontal="center" shrinkToFit="1"/>
    </xf>
    <xf numFmtId="0" fontId="3" fillId="0" borderId="224" xfId="0" applyFont="1" applyFill="1" applyBorder="1" applyAlignment="1">
      <alignment horizontal="center"/>
    </xf>
    <xf numFmtId="0" fontId="3" fillId="0" borderId="225" xfId="0" applyFont="1" applyFill="1" applyBorder="1" applyAlignment="1">
      <alignment horizontal="right" vertical="center" textRotation="255"/>
    </xf>
    <xf numFmtId="0" fontId="3" fillId="0" borderId="178" xfId="0" applyFont="1" applyFill="1" applyBorder="1" applyAlignment="1">
      <alignment horizontal="left" shrinkToFit="1"/>
    </xf>
    <xf numFmtId="0" fontId="4" fillId="0" borderId="178" xfId="0" applyFont="1" applyFill="1" applyBorder="1" applyAlignment="1">
      <alignment horizontal="left"/>
    </xf>
    <xf numFmtId="0" fontId="4" fillId="0" borderId="178" xfId="0" applyFont="1" applyFill="1" applyBorder="1" applyAlignment="1">
      <alignment horizontal="left" shrinkToFit="1"/>
    </xf>
    <xf numFmtId="0" fontId="4" fillId="0" borderId="233" xfId="0" applyFont="1" applyFill="1" applyBorder="1" applyAlignment="1">
      <alignment horizontal="right"/>
    </xf>
    <xf numFmtId="38" fontId="13" fillId="0" borderId="82" xfId="0" applyNumberFormat="1" applyFont="1" applyFill="1" applyBorder="1" applyAlignment="1">
      <alignment horizontal="right"/>
    </xf>
    <xf numFmtId="0" fontId="3" fillId="0" borderId="226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 vertical="center" textRotation="255"/>
    </xf>
    <xf numFmtId="0" fontId="3" fillId="0" borderId="142" xfId="0" applyFont="1" applyFill="1" applyBorder="1" applyAlignment="1">
      <alignment horizontal="left" shrinkToFit="1"/>
    </xf>
    <xf numFmtId="0" fontId="4" fillId="0" borderId="142" xfId="0" applyFont="1" applyFill="1" applyBorder="1" applyAlignment="1">
      <alignment horizontal="left"/>
    </xf>
    <xf numFmtId="0" fontId="4" fillId="0" borderId="142" xfId="0" applyFont="1" applyFill="1" applyBorder="1" applyAlignment="1">
      <alignment horizontal="left" shrinkToFit="1"/>
    </xf>
    <xf numFmtId="0" fontId="4" fillId="0" borderId="140" xfId="0" applyFont="1" applyFill="1" applyBorder="1" applyAlignment="1">
      <alignment horizontal="right"/>
    </xf>
    <xf numFmtId="0" fontId="3" fillId="21" borderId="226" xfId="0" applyFont="1" applyFill="1" applyBorder="1" applyAlignment="1">
      <alignment horizontal="center"/>
    </xf>
    <xf numFmtId="0" fontId="3" fillId="21" borderId="0" xfId="0" applyFont="1" applyFill="1" applyBorder="1" applyAlignment="1">
      <alignment horizontal="right" vertical="center" textRotation="255"/>
    </xf>
    <xf numFmtId="0" fontId="3" fillId="21" borderId="142" xfId="0" applyFont="1" applyFill="1" applyBorder="1" applyAlignment="1">
      <alignment horizontal="left" shrinkToFit="1"/>
    </xf>
    <xf numFmtId="0" fontId="4" fillId="21" borderId="142" xfId="0" applyFont="1" applyFill="1" applyBorder="1" applyAlignment="1">
      <alignment horizontal="left"/>
    </xf>
    <xf numFmtId="0" fontId="4" fillId="21" borderId="142" xfId="0" applyFont="1" applyFill="1" applyBorder="1" applyAlignment="1">
      <alignment horizontal="left" shrinkToFit="1"/>
    </xf>
    <xf numFmtId="0" fontId="4" fillId="21" borderId="140" xfId="0" applyFont="1" applyFill="1" applyBorder="1" applyAlignment="1">
      <alignment horizontal="right"/>
    </xf>
    <xf numFmtId="38" fontId="3" fillId="21" borderId="31" xfId="0" applyNumberFormat="1" applyFont="1" applyFill="1" applyBorder="1" applyAlignment="1">
      <alignment horizontal="right" shrinkToFit="1"/>
    </xf>
    <xf numFmtId="0" fontId="3" fillId="23" borderId="142" xfId="0" quotePrefix="1" applyFont="1" applyFill="1" applyBorder="1" applyAlignment="1">
      <alignment vertical="center"/>
    </xf>
    <xf numFmtId="0" fontId="3" fillId="23" borderId="142" xfId="0" applyFont="1" applyFill="1" applyBorder="1" applyAlignment="1">
      <alignment horizontal="left"/>
    </xf>
    <xf numFmtId="0" fontId="3" fillId="23" borderId="142" xfId="0" applyFont="1" applyFill="1" applyBorder="1" applyAlignment="1">
      <alignment horizontal="center"/>
    </xf>
    <xf numFmtId="0" fontId="3" fillId="23" borderId="140" xfId="0" applyFont="1" applyFill="1" applyBorder="1" applyAlignment="1">
      <alignment horizontal="right"/>
    </xf>
    <xf numFmtId="0" fontId="3" fillId="23" borderId="31" xfId="0" applyFont="1" applyFill="1" applyBorder="1" applyAlignment="1">
      <alignment horizontal="right"/>
    </xf>
    <xf numFmtId="38" fontId="3" fillId="21" borderId="99" xfId="0" applyNumberFormat="1" applyFont="1" applyFill="1" applyBorder="1" applyAlignment="1">
      <alignment horizontal="right" shrinkToFit="1"/>
    </xf>
    <xf numFmtId="0" fontId="3" fillId="23" borderId="98" xfId="0" applyFont="1" applyFill="1" applyBorder="1" applyAlignment="1">
      <alignment horizontal="right"/>
    </xf>
    <xf numFmtId="0" fontId="3" fillId="19" borderId="14" xfId="0" applyFont="1" applyFill="1" applyBorder="1" applyAlignment="1">
      <alignment horizontal="right"/>
    </xf>
    <xf numFmtId="0" fontId="3" fillId="19" borderId="15" xfId="0" applyFont="1" applyFill="1" applyBorder="1" applyAlignment="1">
      <alignment horizontal="left"/>
    </xf>
    <xf numFmtId="0" fontId="3" fillId="19" borderId="227" xfId="0" applyFont="1" applyFill="1" applyBorder="1" applyAlignment="1">
      <alignment horizontal="right"/>
    </xf>
    <xf numFmtId="38" fontId="13" fillId="19" borderId="151" xfId="0" applyNumberFormat="1" applyFont="1" applyFill="1" applyBorder="1" applyAlignment="1">
      <alignment horizontal="right"/>
    </xf>
    <xf numFmtId="38" fontId="3" fillId="19" borderId="152" xfId="0" applyNumberFormat="1" applyFont="1" applyFill="1" applyBorder="1" applyAlignment="1">
      <alignment horizontal="right" shrinkToFit="1"/>
    </xf>
    <xf numFmtId="0" fontId="3" fillId="24" borderId="0" xfId="0" applyFont="1" applyFill="1" applyBorder="1" applyAlignment="1"/>
    <xf numFmtId="0" fontId="3" fillId="21" borderId="0" xfId="0" applyFont="1" applyFill="1" applyBorder="1" applyAlignment="1">
      <alignment horizontal="left" vertical="center" textRotation="255"/>
    </xf>
    <xf numFmtId="38" fontId="13" fillId="19" borderId="152" xfId="0" applyNumberFormat="1" applyFont="1" applyFill="1" applyBorder="1" applyAlignment="1">
      <alignment horizontal="right"/>
    </xf>
    <xf numFmtId="0" fontId="3" fillId="21" borderId="141" xfId="0" applyFont="1" applyFill="1" applyBorder="1" applyAlignment="1">
      <alignment horizontal="left"/>
    </xf>
    <xf numFmtId="0" fontId="3" fillId="21" borderId="178" xfId="0" applyFont="1" applyFill="1" applyBorder="1" applyAlignment="1">
      <alignment horizontal="left"/>
    </xf>
    <xf numFmtId="0" fontId="3" fillId="21" borderId="142" xfId="0" applyFont="1" applyFill="1" applyBorder="1" applyAlignment="1">
      <alignment horizontal="left" vertical="center"/>
    </xf>
    <xf numFmtId="0" fontId="3" fillId="21" borderId="142" xfId="0" applyFont="1" applyFill="1" applyBorder="1" applyAlignment="1">
      <alignment horizontal="left"/>
    </xf>
    <xf numFmtId="0" fontId="3" fillId="21" borderId="142" xfId="0" quotePrefix="1" applyFont="1" applyFill="1" applyBorder="1" applyAlignment="1">
      <alignment horizontal="left" vertical="center"/>
    </xf>
    <xf numFmtId="0" fontId="3" fillId="19" borderId="236" xfId="0" applyFont="1" applyFill="1" applyBorder="1" applyAlignment="1">
      <alignment horizontal="right"/>
    </xf>
    <xf numFmtId="0" fontId="3" fillId="19" borderId="237" xfId="0" applyFont="1" applyFill="1" applyBorder="1" applyAlignment="1">
      <alignment horizontal="left"/>
    </xf>
    <xf numFmtId="0" fontId="3" fillId="19" borderId="244" xfId="0" applyFont="1" applyFill="1" applyBorder="1" applyAlignment="1">
      <alignment horizontal="right"/>
    </xf>
    <xf numFmtId="38" fontId="13" fillId="19" borderId="238" xfId="0" applyNumberFormat="1" applyFont="1" applyFill="1" applyBorder="1" applyAlignment="1">
      <alignment horizontal="right"/>
    </xf>
    <xf numFmtId="38" fontId="3" fillId="19" borderId="239" xfId="0" applyNumberFormat="1" applyFont="1" applyFill="1" applyBorder="1" applyAlignment="1">
      <alignment horizontal="right" shrinkToFit="1"/>
    </xf>
    <xf numFmtId="0" fontId="3" fillId="21" borderId="156" xfId="0" applyFont="1" applyFill="1" applyBorder="1" applyAlignment="1">
      <alignment horizontal="right"/>
    </xf>
    <xf numFmtId="0" fontId="3" fillId="25" borderId="236" xfId="0" applyFont="1" applyFill="1" applyBorder="1" applyAlignment="1">
      <alignment horizontal="left"/>
    </xf>
    <xf numFmtId="0" fontId="3" fillId="25" borderId="237" xfId="0" applyFont="1" applyFill="1" applyBorder="1" applyAlignment="1">
      <alignment horizontal="left"/>
    </xf>
    <xf numFmtId="0" fontId="3" fillId="25" borderId="244" xfId="0" applyFont="1" applyFill="1" applyBorder="1" applyAlignment="1">
      <alignment horizontal="right"/>
    </xf>
    <xf numFmtId="38" fontId="13" fillId="25" borderId="238" xfId="0" applyNumberFormat="1" applyFont="1" applyFill="1" applyBorder="1" applyAlignment="1">
      <alignment horizontal="right"/>
    </xf>
    <xf numFmtId="0" fontId="3" fillId="24" borderId="236" xfId="0" applyFont="1" applyFill="1" applyBorder="1" applyAlignment="1">
      <alignment horizontal="right"/>
    </xf>
    <xf numFmtId="0" fontId="3" fillId="24" borderId="237" xfId="0" applyFont="1" applyFill="1" applyBorder="1" applyAlignment="1">
      <alignment horizontal="left"/>
    </xf>
    <xf numFmtId="0" fontId="3" fillId="24" borderId="244" xfId="0" applyFont="1" applyFill="1" applyBorder="1" applyAlignment="1">
      <alignment horizontal="right"/>
    </xf>
    <xf numFmtId="38" fontId="13" fillId="24" borderId="238" xfId="0" applyNumberFormat="1" applyFont="1" applyFill="1" applyBorder="1" applyAlignment="1">
      <alignment horizontal="right"/>
    </xf>
    <xf numFmtId="38" fontId="13" fillId="24" borderId="239" xfId="0" applyNumberFormat="1" applyFont="1" applyFill="1" applyBorder="1" applyAlignment="1">
      <alignment horizontal="right"/>
    </xf>
    <xf numFmtId="0" fontId="3" fillId="21" borderId="240" xfId="0" applyFont="1" applyFill="1" applyBorder="1" applyAlignment="1"/>
    <xf numFmtId="0" fontId="3" fillId="21" borderId="241" xfId="0" applyFont="1" applyFill="1" applyBorder="1" applyAlignment="1"/>
    <xf numFmtId="0" fontId="44" fillId="21" borderId="245" xfId="0" applyFont="1" applyFill="1" applyBorder="1" applyAlignment="1">
      <alignment horizontal="right"/>
    </xf>
    <xf numFmtId="38" fontId="3" fillId="21" borderId="242" xfId="0" applyNumberFormat="1" applyFont="1" applyFill="1" applyBorder="1" applyAlignment="1"/>
    <xf numFmtId="38" fontId="3" fillId="21" borderId="243" xfId="0" applyNumberFormat="1" applyFont="1" applyFill="1" applyBorder="1" applyAlignment="1"/>
    <xf numFmtId="0" fontId="3" fillId="21" borderId="230" xfId="0" applyFont="1" applyFill="1" applyBorder="1" applyAlignment="1"/>
    <xf numFmtId="0" fontId="3" fillId="21" borderId="87" xfId="0" applyFont="1" applyFill="1" applyBorder="1" applyAlignment="1"/>
    <xf numFmtId="38" fontId="45" fillId="21" borderId="87" xfId="0" applyNumberFormat="1" applyFont="1" applyFill="1" applyBorder="1" applyAlignment="1">
      <alignment shrinkToFit="1"/>
    </xf>
    <xf numFmtId="38" fontId="45" fillId="21" borderId="87" xfId="0" applyNumberFormat="1" applyFont="1" applyFill="1" applyBorder="1" applyAlignment="1"/>
    <xf numFmtId="0" fontId="3" fillId="21" borderId="0" xfId="0" applyFont="1" applyFill="1" applyBorder="1" applyAlignment="1">
      <alignment shrinkToFit="1"/>
    </xf>
    <xf numFmtId="0" fontId="49" fillId="17" borderId="213" xfId="0" applyFont="1" applyFill="1" applyBorder="1" applyAlignment="1" applyProtection="1">
      <alignment horizontal="center" vertical="center" wrapText="1" shrinkToFit="1"/>
    </xf>
    <xf numFmtId="3" fontId="13" fillId="0" borderId="164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217" xfId="1" applyNumberFormat="1" applyFont="1" applyFill="1" applyBorder="1" applyAlignment="1" applyProtection="1">
      <alignment horizontal="center" vertical="center" shrinkToFit="1"/>
      <protection locked="0"/>
    </xf>
    <xf numFmtId="3" fontId="13" fillId="0" borderId="76" xfId="1" applyNumberFormat="1" applyFont="1" applyFill="1" applyBorder="1" applyAlignment="1" applyProtection="1">
      <alignment horizontal="center" vertical="center" shrinkToFit="1"/>
      <protection locked="0"/>
    </xf>
    <xf numFmtId="0" fontId="0" fillId="0" borderId="0" xfId="0" applyNumberFormat="1"/>
    <xf numFmtId="177" fontId="13" fillId="19" borderId="166" xfId="0" applyNumberFormat="1" applyFont="1" applyFill="1" applyBorder="1" applyAlignment="1" applyProtection="1">
      <alignment horizontal="center" vertical="center" shrinkToFit="1"/>
    </xf>
    <xf numFmtId="0" fontId="13" fillId="0" borderId="73" xfId="1" applyNumberFormat="1" applyFont="1" applyBorder="1" applyAlignment="1" applyProtection="1">
      <alignment horizontal="center" vertical="center" shrinkToFit="1"/>
      <protection locked="0"/>
    </xf>
    <xf numFmtId="0" fontId="13" fillId="0" borderId="76" xfId="1" applyNumberFormat="1" applyFont="1" applyBorder="1" applyAlignment="1" applyProtection="1">
      <alignment horizontal="center" vertical="center" shrinkToFit="1"/>
      <protection locked="0"/>
    </xf>
    <xf numFmtId="38" fontId="3" fillId="0" borderId="200" xfId="1" applyFont="1" applyFill="1" applyBorder="1" applyAlignment="1">
      <alignment horizontal="right"/>
    </xf>
    <xf numFmtId="38" fontId="3" fillId="0" borderId="31" xfId="1" applyFont="1" applyFill="1" applyBorder="1" applyAlignment="1">
      <alignment horizontal="right"/>
    </xf>
    <xf numFmtId="0" fontId="3" fillId="21" borderId="87" xfId="0" applyFont="1" applyFill="1" applyBorder="1" applyAlignment="1">
      <alignment horizontal="center"/>
    </xf>
    <xf numFmtId="0" fontId="3" fillId="21" borderId="225" xfId="0" applyFont="1" applyFill="1" applyBorder="1" applyAlignment="1">
      <alignment horizontal="left" vertical="center"/>
    </xf>
    <xf numFmtId="0" fontId="3" fillId="21" borderId="225" xfId="0" applyFont="1" applyFill="1" applyBorder="1" applyAlignment="1">
      <alignment horizontal="left"/>
    </xf>
    <xf numFmtId="0" fontId="3" fillId="21" borderId="225" xfId="0" applyFont="1" applyFill="1" applyBorder="1" applyAlignment="1">
      <alignment horizontal="center"/>
    </xf>
    <xf numFmtId="38" fontId="3" fillId="21" borderId="225" xfId="0" applyNumberFormat="1" applyFont="1" applyFill="1" applyBorder="1" applyAlignment="1">
      <alignment horizontal="right" shrinkToFit="1"/>
    </xf>
    <xf numFmtId="38" fontId="3" fillId="21" borderId="248" xfId="0" applyNumberFormat="1" applyFont="1" applyFill="1" applyBorder="1" applyAlignment="1">
      <alignment horizontal="right" shrinkToFit="1"/>
    </xf>
    <xf numFmtId="0" fontId="46" fillId="21" borderId="0" xfId="0" applyFont="1" applyFill="1" applyBorder="1" applyAlignment="1">
      <alignment horizontal="right"/>
    </xf>
    <xf numFmtId="38" fontId="3" fillId="21" borderId="98" xfId="0" applyNumberFormat="1" applyFont="1" applyFill="1" applyBorder="1" applyAlignment="1">
      <alignment horizontal="right" shrinkToFit="1"/>
    </xf>
    <xf numFmtId="38" fontId="3" fillId="0" borderId="98" xfId="0" applyNumberFormat="1" applyFont="1" applyFill="1" applyBorder="1" applyAlignment="1">
      <alignment horizontal="right" shrinkToFit="1"/>
    </xf>
    <xf numFmtId="0" fontId="3" fillId="21" borderId="225" xfId="0" applyFont="1" applyFill="1" applyBorder="1" applyAlignment="1">
      <alignment horizontal="center" vertical="center"/>
    </xf>
    <xf numFmtId="0" fontId="45" fillId="21" borderId="87" xfId="0" applyFont="1" applyFill="1" applyBorder="1" applyAlignment="1">
      <alignment horizontal="distributed"/>
    </xf>
    <xf numFmtId="0" fontId="45" fillId="21" borderId="87" xfId="0" applyFont="1" applyFill="1" applyBorder="1" applyAlignment="1">
      <alignment horizontal="right"/>
    </xf>
    <xf numFmtId="0" fontId="45" fillId="21" borderId="235" xfId="0" applyFont="1" applyFill="1" applyBorder="1" applyAlignment="1">
      <alignment horizontal="center"/>
    </xf>
    <xf numFmtId="38" fontId="3" fillId="0" borderId="89" xfId="0" applyNumberFormat="1" applyFont="1" applyFill="1" applyBorder="1" applyAlignment="1">
      <alignment horizontal="right" shrinkToFit="1"/>
    </xf>
    <xf numFmtId="0" fontId="3" fillId="21" borderId="233" xfId="0" applyFont="1" applyFill="1" applyBorder="1" applyAlignment="1"/>
    <xf numFmtId="0" fontId="44" fillId="21" borderId="233" xfId="0" applyFont="1" applyFill="1" applyBorder="1" applyAlignment="1"/>
    <xf numFmtId="0" fontId="46" fillId="21" borderId="85" xfId="0" applyFont="1" applyFill="1" applyBorder="1" applyAlignment="1">
      <alignment horizontal="right"/>
    </xf>
    <xf numFmtId="38" fontId="3" fillId="0" borderId="85" xfId="0" applyNumberFormat="1" applyFont="1" applyFill="1" applyBorder="1" applyAlignment="1">
      <alignment horizontal="right" shrinkToFit="1"/>
    </xf>
    <xf numFmtId="0" fontId="46" fillId="21" borderId="89" xfId="0" applyFont="1" applyFill="1" applyBorder="1" applyAlignment="1">
      <alignment horizontal="right"/>
    </xf>
    <xf numFmtId="0" fontId="3" fillId="21" borderId="176" xfId="0" applyFont="1" applyFill="1" applyBorder="1" applyAlignment="1">
      <alignment horizontal="left"/>
    </xf>
    <xf numFmtId="0" fontId="46" fillId="21" borderId="226" xfId="0" applyFont="1" applyFill="1" applyBorder="1" applyAlignment="1">
      <alignment horizontal="right"/>
    </xf>
    <xf numFmtId="0" fontId="3" fillId="21" borderId="82" xfId="0" applyFont="1" applyFill="1" applyBorder="1" applyAlignment="1">
      <alignment horizontal="right"/>
    </xf>
    <xf numFmtId="0" fontId="34" fillId="0" borderId="39" xfId="0" applyFont="1" applyBorder="1" applyAlignment="1" applyProtection="1">
      <alignment vertical="center" shrinkToFit="1"/>
      <protection locked="0"/>
    </xf>
    <xf numFmtId="0" fontId="3" fillId="0" borderId="226" xfId="0" applyFont="1" applyFill="1" applyBorder="1" applyAlignment="1">
      <alignment vertical="center" shrinkToFit="1"/>
    </xf>
    <xf numFmtId="38" fontId="3" fillId="17" borderId="200" xfId="0" applyNumberFormat="1" applyFont="1" applyFill="1" applyBorder="1" applyAlignment="1">
      <alignment horizontal="right" shrinkToFit="1"/>
    </xf>
    <xf numFmtId="38" fontId="3" fillId="17" borderId="100" xfId="0" applyNumberFormat="1" applyFont="1" applyFill="1" applyBorder="1" applyAlignment="1">
      <alignment horizontal="right" shrinkToFit="1"/>
    </xf>
    <xf numFmtId="0" fontId="13" fillId="0" borderId="250" xfId="0" applyNumberFormat="1" applyFont="1" applyBorder="1" applyAlignment="1" applyProtection="1">
      <alignment horizontal="right" vertical="center"/>
      <protection locked="0"/>
    </xf>
    <xf numFmtId="0" fontId="13" fillId="0" borderId="251" xfId="0" applyFont="1" applyBorder="1" applyAlignment="1" applyProtection="1">
      <alignment vertical="center"/>
      <protection locked="0"/>
    </xf>
    <xf numFmtId="0" fontId="13" fillId="0" borderId="252" xfId="0" applyFont="1" applyBorder="1" applyAlignment="1" applyProtection="1">
      <alignment vertical="center" wrapText="1"/>
      <protection locked="0"/>
    </xf>
    <xf numFmtId="186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2" xfId="0" applyFont="1" applyBorder="1" applyAlignment="1" applyProtection="1">
      <alignment horizontal="center" vertical="center" shrinkToFit="1"/>
      <protection locked="0"/>
    </xf>
    <xf numFmtId="38" fontId="13" fillId="0" borderId="252" xfId="0" applyNumberFormat="1" applyFont="1" applyBorder="1" applyAlignment="1" applyProtection="1">
      <alignment vertical="center" shrinkToFit="1"/>
      <protection locked="0"/>
    </xf>
    <xf numFmtId="177" fontId="13" fillId="0" borderId="252" xfId="0" applyNumberFormat="1" applyFont="1" applyBorder="1" applyAlignment="1" applyProtection="1">
      <alignment vertical="center" shrinkToFit="1"/>
      <protection locked="0"/>
    </xf>
    <xf numFmtId="0" fontId="13" fillId="0" borderId="253" xfId="0" applyFont="1" applyBorder="1" applyAlignment="1" applyProtection="1">
      <alignment vertical="center"/>
      <protection locked="0"/>
    </xf>
    <xf numFmtId="0" fontId="13" fillId="0" borderId="77" xfId="0" applyFont="1" applyBorder="1" applyAlignment="1" applyProtection="1">
      <alignment horizontal="right" vertical="center"/>
      <protection locked="0"/>
    </xf>
    <xf numFmtId="186" fontId="13" fillId="0" borderId="63" xfId="0" applyNumberFormat="1" applyFont="1" applyBorder="1" applyAlignment="1" applyProtection="1">
      <alignment vertical="center" shrinkToFit="1"/>
      <protection locked="0"/>
    </xf>
    <xf numFmtId="38" fontId="13" fillId="0" borderId="63" xfId="0" applyNumberFormat="1" applyFont="1" applyBorder="1" applyAlignment="1" applyProtection="1">
      <alignment vertical="center" shrinkToFit="1"/>
      <protection locked="0"/>
    </xf>
    <xf numFmtId="177" fontId="13" fillId="0" borderId="63" xfId="0" applyNumberFormat="1" applyFont="1" applyBorder="1" applyAlignment="1" applyProtection="1">
      <alignment vertical="center" shrinkToFit="1"/>
      <protection locked="0"/>
    </xf>
    <xf numFmtId="0" fontId="13" fillId="0" borderId="254" xfId="0" applyFont="1" applyBorder="1" applyAlignment="1" applyProtection="1">
      <alignment vertical="center"/>
      <protection locked="0"/>
    </xf>
    <xf numFmtId="0" fontId="13" fillId="0" borderId="250" xfId="0" applyFont="1" applyBorder="1" applyAlignment="1" applyProtection="1">
      <alignment horizontal="right" vertical="center"/>
      <protection locked="0"/>
    </xf>
    <xf numFmtId="38" fontId="13" fillId="0" borderId="247" xfId="1" applyFont="1" applyBorder="1" applyAlignment="1" applyProtection="1">
      <alignment horizontal="center" vertical="center" shrinkToFit="1"/>
    </xf>
    <xf numFmtId="38" fontId="13" fillId="0" borderId="217" xfId="1" applyFont="1" applyBorder="1" applyAlignment="1" applyProtection="1">
      <alignment horizontal="center" vertical="center" shrinkToFit="1"/>
    </xf>
    <xf numFmtId="0" fontId="11" fillId="0" borderId="0" xfId="0" applyFont="1" applyFill="1" applyBorder="1" applyAlignment="1">
      <alignment horizontal="center"/>
    </xf>
    <xf numFmtId="0" fontId="11" fillId="21" borderId="227" xfId="0" applyFont="1" applyFill="1" applyBorder="1" applyAlignment="1">
      <alignment horizontal="center"/>
    </xf>
    <xf numFmtId="0" fontId="3" fillId="21" borderId="205" xfId="0" applyFont="1" applyFill="1" applyBorder="1" applyAlignment="1"/>
    <xf numFmtId="0" fontId="11" fillId="21" borderId="0" xfId="0" applyFont="1" applyFill="1" applyBorder="1" applyAlignment="1"/>
    <xf numFmtId="0" fontId="11" fillId="26" borderId="14" xfId="0" applyFont="1" applyFill="1" applyBorder="1" applyAlignment="1"/>
    <xf numFmtId="0" fontId="11" fillId="26" borderId="15" xfId="0" applyFont="1" applyFill="1" applyBorder="1" applyAlignment="1"/>
    <xf numFmtId="0" fontId="11" fillId="26" borderId="11" xfId="0" applyFont="1" applyFill="1" applyBorder="1" applyAlignment="1">
      <alignment horizontal="center"/>
    </xf>
    <xf numFmtId="0" fontId="3" fillId="23" borderId="23" xfId="0" applyFont="1" applyFill="1" applyBorder="1" applyAlignment="1">
      <alignment horizontal="right"/>
    </xf>
    <xf numFmtId="0" fontId="3" fillId="0" borderId="206" xfId="0" applyFont="1" applyBorder="1" applyAlignment="1">
      <alignment horizontal="center" vertical="center"/>
    </xf>
    <xf numFmtId="0" fontId="3" fillId="2" borderId="13" xfId="0" applyFont="1" applyFill="1" applyBorder="1" applyAlignment="1">
      <alignment vertical="center"/>
    </xf>
    <xf numFmtId="0" fontId="28" fillId="0" borderId="0" xfId="0" applyFont="1" applyBorder="1" applyAlignment="1" applyProtection="1">
      <alignment horizontal="center" vertical="center" wrapText="1"/>
      <protection locked="0"/>
    </xf>
    <xf numFmtId="0" fontId="3" fillId="0" borderId="256" xfId="0" applyFont="1" applyBorder="1" applyAlignment="1" applyProtection="1">
      <alignment vertical="center"/>
      <protection locked="0"/>
    </xf>
    <xf numFmtId="0" fontId="3" fillId="0" borderId="257" xfId="0" applyFont="1" applyBorder="1" applyAlignment="1">
      <alignment vertical="center"/>
    </xf>
    <xf numFmtId="0" fontId="3" fillId="0" borderId="215" xfId="0" applyFont="1" applyBorder="1" applyAlignment="1" applyProtection="1">
      <alignment vertical="center"/>
      <protection locked="0"/>
    </xf>
    <xf numFmtId="0" fontId="3" fillId="2" borderId="13" xfId="0" applyFont="1" applyFill="1" applyBorder="1" applyAlignment="1" applyProtection="1">
      <alignment vertical="center"/>
      <protection locked="0"/>
    </xf>
    <xf numFmtId="0" fontId="3" fillId="0" borderId="258" xfId="0" applyFont="1" applyBorder="1" applyAlignment="1">
      <alignment vertical="center"/>
    </xf>
    <xf numFmtId="0" fontId="13" fillId="27" borderId="39" xfId="0" applyFont="1" applyFill="1" applyBorder="1" applyAlignment="1" applyProtection="1">
      <alignment vertical="center"/>
      <protection locked="0"/>
    </xf>
    <xf numFmtId="38" fontId="13" fillId="27" borderId="39" xfId="1" applyFont="1" applyFill="1" applyBorder="1" applyAlignment="1" applyProtection="1">
      <alignment vertical="center"/>
      <protection locked="0"/>
    </xf>
    <xf numFmtId="176" fontId="13" fillId="28" borderId="78" xfId="0" applyNumberFormat="1" applyFont="1" applyFill="1" applyBorder="1" applyAlignment="1" applyProtection="1">
      <alignment vertical="center"/>
      <protection locked="0"/>
    </xf>
    <xf numFmtId="179" fontId="13" fillId="28" borderId="70" xfId="0" applyNumberFormat="1" applyFont="1" applyFill="1" applyBorder="1" applyAlignment="1" applyProtection="1">
      <alignment vertical="center"/>
      <protection locked="0"/>
    </xf>
    <xf numFmtId="0" fontId="13" fillId="28" borderId="70" xfId="0" applyFont="1" applyFill="1" applyBorder="1" applyAlignment="1" applyProtection="1">
      <alignment vertical="center"/>
      <protection locked="0"/>
    </xf>
    <xf numFmtId="38" fontId="13" fillId="25" borderId="239" xfId="0" applyNumberFormat="1" applyFont="1" applyFill="1" applyBorder="1" applyAlignment="1">
      <alignment horizontal="right"/>
    </xf>
    <xf numFmtId="0" fontId="12" fillId="0" borderId="65" xfId="0" applyFont="1" applyBorder="1" applyAlignment="1" applyProtection="1">
      <alignment horizontal="center" vertical="center"/>
    </xf>
    <xf numFmtId="38" fontId="45" fillId="0" borderId="31" xfId="0" applyNumberFormat="1" applyFont="1" applyFill="1" applyBorder="1" applyAlignment="1">
      <alignment horizontal="right" shrinkToFit="1"/>
    </xf>
    <xf numFmtId="0" fontId="12" fillId="0" borderId="64" xfId="0" applyFont="1" applyBorder="1" applyAlignment="1" applyProtection="1">
      <alignment horizontal="center" vertical="center"/>
    </xf>
    <xf numFmtId="0" fontId="5" fillId="0" borderId="64" xfId="0" applyFont="1" applyBorder="1" applyAlignment="1" applyProtection="1">
      <alignment horizontal="center" vertical="center"/>
    </xf>
    <xf numFmtId="0" fontId="5" fillId="0" borderId="65" xfId="0" applyFont="1" applyBorder="1" applyAlignment="1" applyProtection="1">
      <alignment horizontal="center" vertical="center"/>
    </xf>
    <xf numFmtId="0" fontId="5" fillId="0" borderId="66" xfId="0" applyFont="1" applyBorder="1" applyAlignment="1" applyProtection="1">
      <alignment horizontal="center" vertical="center"/>
    </xf>
    <xf numFmtId="0" fontId="3" fillId="0" borderId="49" xfId="0" applyFont="1" applyBorder="1" applyAlignment="1">
      <alignment horizontal="center" vertical="center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center" vertical="center" shrinkToFit="1"/>
    </xf>
    <xf numFmtId="0" fontId="51" fillId="0" borderId="0" xfId="0" applyFont="1" applyFill="1" applyBorder="1" applyAlignment="1">
      <alignment horizontal="right" shrinkToFit="1"/>
    </xf>
    <xf numFmtId="0" fontId="51" fillId="0" borderId="0" xfId="0" applyFont="1" applyFill="1" applyBorder="1" applyAlignment="1">
      <alignment horizontal="center" shrinkToFit="1"/>
    </xf>
    <xf numFmtId="0" fontId="4" fillId="0" borderId="0" xfId="0" applyFont="1" applyBorder="1" applyAlignment="1">
      <alignment vertical="center"/>
    </xf>
    <xf numFmtId="0" fontId="52" fillId="28" borderId="12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right" vertical="center" shrinkToFit="1"/>
    </xf>
    <xf numFmtId="0" fontId="9" fillId="0" borderId="224" xfId="0" applyFont="1" applyFill="1" applyBorder="1" applyAlignment="1">
      <alignment horizontal="right" vertical="center"/>
    </xf>
    <xf numFmtId="0" fontId="9" fillId="0" borderId="225" xfId="0" applyFont="1" applyFill="1" applyBorder="1" applyAlignment="1">
      <alignment horizontal="right" vertical="center"/>
    </xf>
    <xf numFmtId="0" fontId="4" fillId="0" borderId="225" xfId="0" applyFont="1" applyBorder="1" applyAlignment="1">
      <alignment vertical="center"/>
    </xf>
    <xf numFmtId="0" fontId="53" fillId="0" borderId="225" xfId="0" applyFont="1" applyFill="1" applyBorder="1" applyAlignment="1">
      <alignment horizontal="center" vertical="center"/>
    </xf>
    <xf numFmtId="0" fontId="9" fillId="0" borderId="225" xfId="0" applyFont="1" applyFill="1" applyBorder="1" applyAlignment="1">
      <alignment horizontal="center" vertical="center"/>
    </xf>
    <xf numFmtId="0" fontId="9" fillId="29" borderId="231" xfId="0" applyFont="1" applyFill="1" applyBorder="1" applyAlignment="1">
      <alignment horizontal="center" vertical="center"/>
    </xf>
    <xf numFmtId="177" fontId="54" fillId="0" borderId="82" xfId="0" applyNumberFormat="1" applyFont="1" applyFill="1" applyBorder="1" applyAlignment="1">
      <alignment horizontal="center" vertical="center" shrinkToFit="1"/>
    </xf>
    <xf numFmtId="177" fontId="9" fillId="0" borderId="231" xfId="0" applyNumberFormat="1" applyFont="1" applyFill="1" applyBorder="1" applyAlignment="1">
      <alignment horizontal="right" vertical="center"/>
    </xf>
    <xf numFmtId="177" fontId="9" fillId="0" borderId="231" xfId="0" applyNumberFormat="1" applyFont="1" applyFill="1" applyBorder="1" applyAlignment="1">
      <alignment vertical="center" shrinkToFit="1"/>
    </xf>
    <xf numFmtId="177" fontId="9" fillId="0" borderId="231" xfId="0" applyNumberFormat="1" applyFont="1" applyFill="1" applyBorder="1" applyAlignment="1">
      <alignment horizontal="right" vertical="center" shrinkToFit="1"/>
    </xf>
    <xf numFmtId="177" fontId="9" fillId="0" borderId="248" xfId="0" applyNumberFormat="1" applyFont="1" applyFill="1" applyBorder="1" applyAlignment="1">
      <alignment vertical="center" shrinkToFit="1"/>
    </xf>
    <xf numFmtId="0" fontId="9" fillId="0" borderId="226" xfId="0" applyFont="1" applyFill="1" applyBorder="1" applyAlignment="1">
      <alignment horizontal="right" vertical="center"/>
    </xf>
    <xf numFmtId="0" fontId="9" fillId="0" borderId="139" xfId="0" applyFont="1" applyFill="1" applyBorder="1" applyAlignment="1">
      <alignment horizontal="center" vertical="center"/>
    </xf>
    <xf numFmtId="177" fontId="9" fillId="0" borderId="120" xfId="0" applyNumberFormat="1" applyFont="1" applyFill="1" applyBorder="1" applyAlignment="1">
      <alignment horizontal="right" vertical="center"/>
    </xf>
    <xf numFmtId="177" fontId="9" fillId="0" borderId="120" xfId="0" applyNumberFormat="1" applyFont="1" applyFill="1" applyBorder="1" applyAlignment="1">
      <alignment vertical="center" shrinkToFit="1"/>
    </xf>
    <xf numFmtId="177" fontId="9" fillId="0" borderId="120" xfId="0" applyNumberFormat="1" applyFont="1" applyFill="1" applyBorder="1" applyAlignment="1">
      <alignment horizontal="right" vertical="center" shrinkToFit="1"/>
    </xf>
    <xf numFmtId="177" fontId="9" fillId="0" borderId="260" xfId="0" applyNumberFormat="1" applyFont="1" applyFill="1" applyBorder="1" applyAlignment="1">
      <alignment vertical="center" shrinkToFit="1"/>
    </xf>
    <xf numFmtId="0" fontId="9" fillId="0" borderId="14" xfId="0" applyFont="1" applyFill="1" applyBorder="1" applyAlignment="1">
      <alignment horizontal="right" vertical="center"/>
    </xf>
    <xf numFmtId="0" fontId="9" fillId="0" borderId="15" xfId="0" applyFont="1" applyFill="1" applyBorder="1" applyAlignment="1">
      <alignment horizontal="center" vertical="center"/>
    </xf>
    <xf numFmtId="177" fontId="9" fillId="0" borderId="151" xfId="0" applyNumberFormat="1" applyFont="1" applyFill="1" applyBorder="1" applyAlignment="1">
      <alignment horizontal="right" vertical="center"/>
    </xf>
    <xf numFmtId="177" fontId="9" fillId="0" borderId="151" xfId="0" applyNumberFormat="1" applyFont="1" applyFill="1" applyBorder="1" applyAlignment="1">
      <alignment vertical="center" shrinkToFit="1"/>
    </xf>
    <xf numFmtId="177" fontId="9" fillId="0" borderId="151" xfId="0" applyNumberFormat="1" applyFont="1" applyFill="1" applyBorder="1" applyAlignment="1">
      <alignment horizontal="right" vertical="center" shrinkToFit="1"/>
    </xf>
    <xf numFmtId="177" fontId="9" fillId="0" borderId="123" xfId="0" applyNumberFormat="1" applyFont="1" applyFill="1" applyBorder="1" applyAlignment="1">
      <alignment vertical="center" shrinkToFit="1"/>
    </xf>
    <xf numFmtId="0" fontId="11" fillId="0" borderId="0" xfId="0" applyFont="1" applyFill="1" applyBorder="1" applyAlignment="1">
      <alignment horizontal="distributed" vertical="center"/>
    </xf>
    <xf numFmtId="0" fontId="11" fillId="0" borderId="0" xfId="0" applyFont="1" applyFill="1" applyBorder="1" applyAlignment="1">
      <alignment horizontal="left" vertical="center"/>
    </xf>
    <xf numFmtId="0" fontId="53" fillId="0" borderId="0" xfId="0" applyFont="1" applyFill="1" applyBorder="1" applyAlignment="1">
      <alignment horizontal="center" vertical="center"/>
    </xf>
    <xf numFmtId="0" fontId="51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vertical="center"/>
    </xf>
    <xf numFmtId="0" fontId="4" fillId="0" borderId="224" xfId="0" applyFont="1" applyFill="1" applyBorder="1" applyAlignment="1">
      <alignment horizontal="right"/>
    </xf>
    <xf numFmtId="0" fontId="4" fillId="0" borderId="225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distributed"/>
    </xf>
    <xf numFmtId="0" fontId="44" fillId="0" borderId="178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right"/>
    </xf>
    <xf numFmtId="191" fontId="4" fillId="0" borderId="82" xfId="0" applyNumberFormat="1" applyFont="1" applyFill="1" applyBorder="1" applyAlignment="1">
      <alignment horizontal="center" shrinkToFit="1"/>
    </xf>
    <xf numFmtId="191" fontId="4" fillId="0" borderId="200" xfId="0" applyNumberFormat="1" applyFont="1" applyFill="1" applyBorder="1" applyAlignment="1">
      <alignment horizontal="center" shrinkToFit="1"/>
    </xf>
    <xf numFmtId="0" fontId="51" fillId="0" borderId="0" xfId="0" applyFont="1" applyFill="1" applyBorder="1" applyAlignment="1"/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141" xfId="0" applyFont="1" applyFill="1" applyBorder="1" applyAlignment="1">
      <alignment horizontal="distributed"/>
    </xf>
    <xf numFmtId="0" fontId="44" fillId="0" borderId="141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center"/>
    </xf>
    <xf numFmtId="0" fontId="4" fillId="0" borderId="95" xfId="0" applyFont="1" applyFill="1" applyBorder="1" applyAlignment="1">
      <alignment horizontal="right"/>
    </xf>
    <xf numFmtId="191" fontId="4" fillId="0" borderId="95" xfId="0" applyNumberFormat="1" applyFont="1" applyFill="1" applyBorder="1" applyAlignment="1">
      <alignment horizontal="center" shrinkToFit="1"/>
    </xf>
    <xf numFmtId="191" fontId="4" fillId="0" borderId="99" xfId="0" applyNumberFormat="1" applyFont="1" applyFill="1" applyBorder="1" applyAlignment="1">
      <alignment horizontal="center" shrinkToFit="1"/>
    </xf>
    <xf numFmtId="38" fontId="9" fillId="0" borderId="120" xfId="0" applyNumberFormat="1" applyFont="1" applyFill="1" applyBorder="1" applyAlignment="1">
      <alignment horizontal="center" shrinkToFit="1"/>
    </xf>
    <xf numFmtId="38" fontId="9" fillId="0" borderId="122" xfId="0" applyNumberFormat="1" applyFont="1" applyFill="1" applyBorder="1" applyAlignment="1">
      <alignment horizontal="center" shrinkToFit="1"/>
    </xf>
    <xf numFmtId="0" fontId="4" fillId="0" borderId="0" xfId="0" applyFont="1" applyFill="1" applyBorder="1" applyAlignment="1"/>
    <xf numFmtId="38" fontId="4" fillId="11" borderId="95" xfId="0" applyNumberFormat="1" applyFont="1" applyFill="1" applyBorder="1" applyAlignment="1">
      <alignment horizontal="center" vertical="center" shrinkToFit="1"/>
    </xf>
    <xf numFmtId="38" fontId="4" fillId="11" borderId="99" xfId="0" applyNumberFormat="1" applyFont="1" applyFill="1" applyBorder="1" applyAlignment="1">
      <alignment horizontal="center" vertical="center" shrinkToFit="1"/>
    </xf>
    <xf numFmtId="38" fontId="4" fillId="11" borderId="89" xfId="0" applyNumberFormat="1" applyFont="1" applyFill="1" applyBorder="1" applyAlignment="1">
      <alignment horizontal="center" vertical="center" shrinkToFit="1"/>
    </xf>
    <xf numFmtId="38" fontId="4" fillId="11" borderId="100" xfId="0" applyNumberFormat="1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/>
    </xf>
    <xf numFmtId="0" fontId="4" fillId="0" borderId="15" xfId="0" applyFont="1" applyFill="1" applyBorder="1" applyAlignment="1">
      <alignment horizontal="left"/>
    </xf>
    <xf numFmtId="0" fontId="4" fillId="0" borderId="151" xfId="0" applyFont="1" applyFill="1" applyBorder="1" applyAlignment="1">
      <alignment horizontal="center"/>
    </xf>
    <xf numFmtId="38" fontId="9" fillId="0" borderId="151" xfId="0" applyNumberFormat="1" applyFont="1" applyFill="1" applyBorder="1" applyAlignment="1">
      <alignment horizontal="right"/>
    </xf>
    <xf numFmtId="38" fontId="9" fillId="0" borderId="151" xfId="0" applyNumberFormat="1" applyFont="1" applyFill="1" applyBorder="1" applyAlignment="1">
      <alignment horizontal="right" shrinkToFit="1"/>
    </xf>
    <xf numFmtId="38" fontId="9" fillId="0" borderId="152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/>
    </xf>
    <xf numFmtId="38" fontId="9" fillId="28" borderId="82" xfId="0" applyNumberFormat="1" applyFont="1" applyFill="1" applyBorder="1" applyAlignment="1">
      <alignment horizontal="right" shrinkToFit="1"/>
    </xf>
    <xf numFmtId="38" fontId="9" fillId="28" borderId="200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/>
    </xf>
    <xf numFmtId="38" fontId="9" fillId="0" borderId="23" xfId="0" applyNumberFormat="1" applyFont="1" applyFill="1" applyBorder="1" applyAlignment="1">
      <alignment horizontal="right" shrinkToFit="1"/>
    </xf>
    <xf numFmtId="38" fontId="9" fillId="0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/>
    </xf>
    <xf numFmtId="38" fontId="9" fillId="0" borderId="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 vertical="center" shrinkToFit="1"/>
    </xf>
    <xf numFmtId="177" fontId="24" fillId="0" borderId="23" xfId="0" applyNumberFormat="1" applyFont="1" applyFill="1" applyBorder="1" applyAlignment="1">
      <alignment horizontal="right" vertical="center" shrinkToFit="1"/>
    </xf>
    <xf numFmtId="177" fontId="24" fillId="0" borderId="31" xfId="0" applyNumberFormat="1" applyFont="1" applyFill="1" applyBorder="1" applyAlignment="1">
      <alignment horizontal="right" vertical="center" shrinkToFit="1"/>
    </xf>
    <xf numFmtId="177" fontId="24" fillId="0" borderId="0" xfId="0" applyNumberFormat="1" applyFont="1" applyFill="1" applyBorder="1" applyAlignment="1">
      <alignment horizontal="right" vertical="center" shrinkToFit="1"/>
    </xf>
    <xf numFmtId="38" fontId="9" fillId="28" borderId="23" xfId="0" applyNumberFormat="1" applyFont="1" applyFill="1" applyBorder="1" applyAlignment="1">
      <alignment horizontal="right" shrinkToFit="1"/>
    </xf>
    <xf numFmtId="38" fontId="9" fillId="28" borderId="31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right"/>
    </xf>
    <xf numFmtId="38" fontId="9" fillId="0" borderId="121" xfId="0" applyNumberFormat="1" applyFont="1" applyFill="1" applyBorder="1" applyAlignment="1">
      <alignment horizontal="right"/>
    </xf>
    <xf numFmtId="38" fontId="9" fillId="28" borderId="121" xfId="0" applyNumberFormat="1" applyFont="1" applyFill="1" applyBorder="1" applyAlignment="1">
      <alignment horizontal="right" shrinkToFit="1"/>
    </xf>
    <xf numFmtId="38" fontId="9" fillId="28" borderId="204" xfId="0" applyNumberFormat="1" applyFont="1" applyFill="1" applyBorder="1" applyAlignment="1">
      <alignment horizontal="right" shrinkToFit="1"/>
    </xf>
    <xf numFmtId="0" fontId="44" fillId="0" borderId="226" xfId="0" applyFont="1" applyFill="1" applyBorder="1" applyAlignment="1">
      <alignment horizontal="left"/>
    </xf>
    <xf numFmtId="0" fontId="56" fillId="0" borderId="0" xfId="0" applyFont="1" applyFill="1" applyBorder="1" applyAlignment="1">
      <alignment horizontal="left"/>
    </xf>
    <xf numFmtId="0" fontId="56" fillId="0" borderId="259" xfId="0" applyFont="1" applyFill="1" applyBorder="1" applyAlignment="1">
      <alignment horizontal="left"/>
    </xf>
    <xf numFmtId="0" fontId="4" fillId="0" borderId="89" xfId="0" applyFont="1" applyFill="1" applyBorder="1" applyAlignment="1">
      <alignment horizontal="center"/>
    </xf>
    <xf numFmtId="0" fontId="9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right" shrinkToFit="1"/>
    </xf>
    <xf numFmtId="0" fontId="9" fillId="0" borderId="100" xfId="0" applyFont="1" applyFill="1" applyBorder="1" applyAlignment="1">
      <alignment horizontal="right" shrinkToFit="1"/>
    </xf>
    <xf numFmtId="0" fontId="17" fillId="0" borderId="142" xfId="0" applyFont="1" applyFill="1" applyBorder="1" applyAlignment="1">
      <alignment horizontal="left"/>
    </xf>
    <xf numFmtId="0" fontId="4" fillId="0" borderId="142" xfId="0" quotePrefix="1" applyFont="1" applyFill="1" applyBorder="1" applyAlignment="1">
      <alignment horizontal="left" shrinkToFit="1"/>
    </xf>
    <xf numFmtId="0" fontId="4" fillId="0" borderId="142" xfId="0" quotePrefix="1" applyFont="1" applyFill="1" applyBorder="1" applyAlignment="1">
      <alignment horizontal="left"/>
    </xf>
    <xf numFmtId="0" fontId="51" fillId="0" borderId="139" xfId="0" applyFont="1" applyFill="1" applyBorder="1" applyAlignment="1">
      <alignment horizontal="left" shrinkToFit="1"/>
    </xf>
    <xf numFmtId="0" fontId="4" fillId="0" borderId="139" xfId="0" applyFont="1" applyFill="1" applyBorder="1" applyAlignment="1">
      <alignment horizontal="left" shrinkToFit="1"/>
    </xf>
    <xf numFmtId="0" fontId="4" fillId="0" borderId="120" xfId="0" applyFont="1" applyFill="1" applyBorder="1" applyAlignment="1">
      <alignment horizontal="right"/>
    </xf>
    <xf numFmtId="177" fontId="24" fillId="30" borderId="23" xfId="0" applyNumberFormat="1" applyFont="1" applyFill="1" applyBorder="1" applyAlignment="1">
      <alignment horizontal="right" vertical="center" shrinkToFit="1"/>
    </xf>
    <xf numFmtId="177" fontId="24" fillId="30" borderId="31" xfId="0" applyNumberFormat="1" applyFont="1" applyFill="1" applyBorder="1" applyAlignment="1">
      <alignment horizontal="right" vertical="center" shrinkToFit="1"/>
    </xf>
    <xf numFmtId="0" fontId="4" fillId="0" borderId="176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/>
    </xf>
    <xf numFmtId="38" fontId="9" fillId="0" borderId="85" xfId="0" applyNumberFormat="1" applyFont="1" applyFill="1" applyBorder="1" applyAlignment="1">
      <alignment horizontal="right"/>
    </xf>
    <xf numFmtId="38" fontId="9" fillId="28" borderId="85" xfId="0" applyNumberFormat="1" applyFont="1" applyFill="1" applyBorder="1" applyAlignment="1">
      <alignment horizontal="right" shrinkToFit="1"/>
    </xf>
    <xf numFmtId="38" fontId="9" fillId="28" borderId="98" xfId="0" applyNumberFormat="1" applyFont="1" applyFill="1" applyBorder="1" applyAlignment="1">
      <alignment horizontal="right" shrinkToFit="1"/>
    </xf>
    <xf numFmtId="0" fontId="24" fillId="0" borderId="89" xfId="0" applyFont="1" applyFill="1" applyBorder="1" applyAlignment="1">
      <alignment horizontal="center" vertical="center" wrapText="1"/>
    </xf>
    <xf numFmtId="0" fontId="57" fillId="0" borderId="89" xfId="0" applyFont="1" applyFill="1" applyBorder="1" applyAlignment="1">
      <alignment horizontal="left" vertical="center"/>
    </xf>
    <xf numFmtId="38" fontId="24" fillId="0" borderId="89" xfId="0" applyNumberFormat="1" applyFont="1" applyFill="1" applyBorder="1" applyAlignment="1">
      <alignment horizontal="right" vertical="center"/>
    </xf>
    <xf numFmtId="38" fontId="24" fillId="0" borderId="89" xfId="0" applyNumberFormat="1" applyFont="1" applyFill="1" applyBorder="1" applyAlignment="1">
      <alignment horizontal="right" vertical="center" shrinkToFit="1"/>
    </xf>
    <xf numFmtId="38" fontId="24" fillId="0" borderId="262" xfId="0" applyNumberFormat="1" applyFont="1" applyFill="1" applyBorder="1" applyAlignment="1">
      <alignment horizontal="right" vertical="center" shrinkToFit="1"/>
    </xf>
    <xf numFmtId="0" fontId="24" fillId="0" borderId="82" xfId="0" applyFont="1" applyFill="1" applyBorder="1" applyAlignment="1">
      <alignment horizontal="left" vertical="center" shrinkToFit="1"/>
    </xf>
    <xf numFmtId="0" fontId="24" fillId="0" borderId="23" xfId="0" applyNumberFormat="1" applyFont="1" applyFill="1" applyBorder="1" applyAlignment="1">
      <alignment horizontal="right" vertical="center" shrinkToFit="1"/>
    </xf>
    <xf numFmtId="10" fontId="24" fillId="0" borderId="23" xfId="0" quotePrefix="1" applyNumberFormat="1" applyFont="1" applyFill="1" applyBorder="1" applyAlignment="1">
      <alignment horizontal="right" vertical="center" shrinkToFit="1"/>
    </xf>
    <xf numFmtId="177" fontId="24" fillId="0" borderId="23" xfId="0" applyNumberFormat="1" applyFont="1" applyFill="1" applyBorder="1" applyAlignment="1">
      <alignment horizontal="right" vertical="center"/>
    </xf>
    <xf numFmtId="177" fontId="24" fillId="0" borderId="31" xfId="0" applyNumberFormat="1" applyFont="1" applyFill="1" applyBorder="1" applyAlignment="1">
      <alignment horizontal="right" vertical="center"/>
    </xf>
    <xf numFmtId="0" fontId="4" fillId="0" borderId="0" xfId="0" applyFont="1" applyFill="1" applyBorder="1" applyAlignment="1">
      <alignment vertical="center"/>
    </xf>
    <xf numFmtId="0" fontId="24" fillId="0" borderId="23" xfId="0" applyFont="1" applyFill="1" applyBorder="1" applyAlignment="1">
      <alignment horizontal="left" vertical="center" shrinkToFit="1"/>
    </xf>
    <xf numFmtId="10" fontId="24" fillId="0" borderId="23" xfId="0" applyNumberFormat="1" applyFont="1" applyFill="1" applyBorder="1" applyAlignment="1">
      <alignment horizontal="right" vertical="center" shrinkToFit="1"/>
    </xf>
    <xf numFmtId="49" fontId="24" fillId="0" borderId="142" xfId="0" applyNumberFormat="1" applyFont="1" applyFill="1" applyBorder="1" applyAlignment="1">
      <alignment horizontal="left" vertical="center" shrinkToFit="1"/>
    </xf>
    <xf numFmtId="0" fontId="24" fillId="0" borderId="23" xfId="0" applyFont="1" applyFill="1" applyBorder="1" applyAlignment="1">
      <alignment vertical="center" shrinkToFit="1"/>
    </xf>
    <xf numFmtId="0" fontId="24" fillId="0" borderId="23" xfId="0" quotePrefix="1" applyFont="1" applyFill="1" applyBorder="1" applyAlignment="1">
      <alignment horizontal="left" vertical="center" shrinkToFit="1"/>
    </xf>
    <xf numFmtId="0" fontId="58" fillId="29" borderId="120" xfId="0" applyFont="1" applyFill="1" applyBorder="1" applyAlignment="1">
      <alignment horizontal="center" vertical="center" shrinkToFit="1"/>
    </xf>
    <xf numFmtId="0" fontId="58" fillId="29" borderId="23" xfId="0" applyFont="1" applyFill="1" applyBorder="1" applyAlignment="1">
      <alignment horizontal="left" vertical="center" shrinkToFit="1"/>
    </xf>
    <xf numFmtId="0" fontId="58" fillId="29" borderId="263" xfId="0" applyFont="1" applyFill="1" applyBorder="1" applyAlignment="1">
      <alignment horizontal="center" vertical="center" shrinkToFit="1"/>
    </xf>
    <xf numFmtId="0" fontId="59" fillId="29" borderId="120" xfId="0" applyFont="1" applyFill="1" applyBorder="1" applyAlignment="1">
      <alignment horizontal="left" vertical="center" shrinkToFit="1"/>
    </xf>
    <xf numFmtId="0" fontId="24" fillId="0" borderId="120" xfId="0" applyNumberFormat="1" applyFont="1" applyFill="1" applyBorder="1" applyAlignment="1">
      <alignment horizontal="right" vertical="center" shrinkToFit="1"/>
    </xf>
    <xf numFmtId="10" fontId="24" fillId="0" borderId="120" xfId="0" applyNumberFormat="1" applyFont="1" applyFill="1" applyBorder="1" applyAlignment="1">
      <alignment horizontal="right" vertical="center" shrinkToFit="1"/>
    </xf>
    <xf numFmtId="177" fontId="24" fillId="0" borderId="120" xfId="0" applyNumberFormat="1" applyFont="1" applyFill="1" applyBorder="1" applyAlignment="1">
      <alignment horizontal="right" vertical="center"/>
    </xf>
    <xf numFmtId="177" fontId="24" fillId="0" borderId="120" xfId="0" applyNumberFormat="1" applyFont="1" applyFill="1" applyBorder="1" applyAlignment="1">
      <alignment horizontal="right" vertical="center" shrinkToFit="1"/>
    </xf>
    <xf numFmtId="177" fontId="24" fillId="0" borderId="264" xfId="0" applyNumberFormat="1" applyFont="1" applyFill="1" applyBorder="1" applyAlignment="1">
      <alignment horizontal="right" vertical="center" shrinkToFit="1"/>
    </xf>
    <xf numFmtId="0" fontId="24" fillId="0" borderId="226" xfId="0" applyFont="1" applyFill="1" applyBorder="1" applyAlignment="1">
      <alignment horizontal="right" vertical="center"/>
    </xf>
    <xf numFmtId="0" fontId="24" fillId="0" borderId="267" xfId="0" applyFont="1" applyFill="1" applyBorder="1" applyAlignment="1">
      <alignment horizontal="left" vertical="center"/>
    </xf>
    <xf numFmtId="0" fontId="24" fillId="0" borderId="267" xfId="0" applyFont="1" applyFill="1" applyBorder="1" applyAlignment="1">
      <alignment horizontal="right" vertical="center"/>
    </xf>
    <xf numFmtId="177" fontId="24" fillId="0" borderId="267" xfId="0" applyNumberFormat="1" applyFont="1" applyFill="1" applyBorder="1" applyAlignment="1">
      <alignment horizontal="right" vertical="center"/>
    </xf>
    <xf numFmtId="177" fontId="24" fillId="0" borderId="267" xfId="0" applyNumberFormat="1" applyFont="1" applyFill="1" applyBorder="1" applyAlignment="1">
      <alignment horizontal="right" vertical="center" shrinkToFit="1"/>
    </xf>
    <xf numFmtId="177" fontId="24" fillId="0" borderId="268" xfId="0" applyNumberFormat="1" applyFont="1" applyFill="1" applyBorder="1" applyAlignment="1">
      <alignment horizontal="right" vertical="center" shrinkToFit="1"/>
    </xf>
    <xf numFmtId="177" fontId="24" fillId="22" borderId="267" xfId="0" applyNumberFormat="1" applyFont="1" applyFill="1" applyBorder="1" applyAlignment="1">
      <alignment horizontal="right" vertical="center" shrinkToFit="1"/>
    </xf>
    <xf numFmtId="177" fontId="17" fillId="17" borderId="267" xfId="0" applyNumberFormat="1" applyFont="1" applyFill="1" applyBorder="1" applyAlignment="1">
      <alignment horizontal="right" vertical="center" shrinkToFit="1"/>
    </xf>
    <xf numFmtId="0" fontId="24" fillId="0" borderId="271" xfId="0" applyFont="1" applyFill="1" applyBorder="1" applyAlignment="1">
      <alignment horizontal="left" vertical="center"/>
    </xf>
    <xf numFmtId="0" fontId="24" fillId="0" borderId="271" xfId="0" applyFont="1" applyFill="1" applyBorder="1" applyAlignment="1">
      <alignment horizontal="right" vertical="center"/>
    </xf>
    <xf numFmtId="177" fontId="24" fillId="0" borderId="271" xfId="0" applyNumberFormat="1" applyFont="1" applyFill="1" applyBorder="1" applyAlignment="1">
      <alignment horizontal="right" vertical="center" shrinkToFit="1"/>
    </xf>
    <xf numFmtId="0" fontId="56" fillId="0" borderId="224" xfId="0" applyFont="1" applyBorder="1" applyAlignment="1">
      <alignment vertical="center"/>
    </xf>
    <xf numFmtId="0" fontId="17" fillId="0" borderId="225" xfId="0" applyFont="1" applyBorder="1" applyAlignment="1">
      <alignment vertical="center"/>
    </xf>
    <xf numFmtId="0" fontId="17" fillId="0" borderId="231" xfId="0" applyFont="1" applyBorder="1" applyAlignment="1">
      <alignment vertical="center"/>
    </xf>
    <xf numFmtId="0" fontId="17" fillId="0" borderId="231" xfId="0" applyFont="1" applyFill="1" applyBorder="1" applyAlignment="1">
      <alignment horizontal="right" vertical="center"/>
    </xf>
    <xf numFmtId="177" fontId="17" fillId="0" borderId="231" xfId="0" applyNumberFormat="1" applyFont="1" applyBorder="1" applyAlignment="1">
      <alignment vertical="center"/>
    </xf>
    <xf numFmtId="177" fontId="17" fillId="0" borderId="231" xfId="0" applyNumberFormat="1" applyFont="1" applyBorder="1" applyAlignment="1">
      <alignment vertical="center" shrinkToFit="1"/>
    </xf>
    <xf numFmtId="0" fontId="17" fillId="0" borderId="226" xfId="0" applyFont="1" applyBorder="1" applyAlignment="1">
      <alignment vertical="center"/>
    </xf>
    <xf numFmtId="0" fontId="24" fillId="0" borderId="274" xfId="0" applyNumberFormat="1" applyFont="1" applyFill="1" applyBorder="1" applyAlignment="1">
      <alignment horizontal="right" vertical="center" shrinkToFit="1"/>
    </xf>
    <xf numFmtId="10" fontId="24" fillId="0" borderId="274" xfId="0" quotePrefix="1" applyNumberFormat="1" applyFont="1" applyFill="1" applyBorder="1" applyAlignment="1">
      <alignment horizontal="right" vertical="center" shrinkToFit="1"/>
    </xf>
    <xf numFmtId="177" fontId="17" fillId="0" borderId="274" xfId="0" applyNumberFormat="1" applyFont="1" applyBorder="1" applyAlignment="1">
      <alignment vertical="center"/>
    </xf>
    <xf numFmtId="177" fontId="17" fillId="30" borderId="274" xfId="0" applyNumberFormat="1" applyFont="1" applyFill="1" applyBorder="1" applyAlignment="1">
      <alignment vertical="center" shrinkToFit="1"/>
    </xf>
    <xf numFmtId="177" fontId="17" fillId="30" borderId="275" xfId="0" applyNumberFormat="1" applyFont="1" applyFill="1" applyBorder="1" applyAlignment="1">
      <alignment vertical="center" shrinkToFit="1"/>
    </xf>
    <xf numFmtId="0" fontId="17" fillId="0" borderId="276" xfId="0" applyFont="1" applyBorder="1" applyAlignment="1">
      <alignment vertical="center"/>
    </xf>
    <xf numFmtId="0" fontId="17" fillId="0" borderId="277" xfId="0" applyFont="1" applyBorder="1" applyAlignment="1">
      <alignment vertical="center"/>
    </xf>
    <xf numFmtId="0" fontId="17" fillId="0" borderId="278" xfId="0" applyFont="1" applyBorder="1" applyAlignment="1">
      <alignment vertical="center"/>
    </xf>
    <xf numFmtId="0" fontId="17" fillId="0" borderId="278" xfId="0" applyFont="1" applyFill="1" applyBorder="1" applyAlignment="1">
      <alignment horizontal="right" vertical="center"/>
    </xf>
    <xf numFmtId="177" fontId="17" fillId="0" borderId="278" xfId="0" applyNumberFormat="1" applyFont="1" applyBorder="1" applyAlignment="1">
      <alignment vertical="center"/>
    </xf>
    <xf numFmtId="177" fontId="17" fillId="0" borderId="279" xfId="0" applyNumberFormat="1" applyFont="1" applyBorder="1" applyAlignment="1">
      <alignment vertical="center"/>
    </xf>
    <xf numFmtId="177" fontId="24" fillId="25" borderId="267" xfId="0" applyNumberFormat="1" applyFont="1" applyFill="1" applyBorder="1" applyAlignment="1">
      <alignment horizontal="right" vertical="center" shrinkToFit="1"/>
    </xf>
    <xf numFmtId="177" fontId="24" fillId="17" borderId="267" xfId="0" applyNumberFormat="1" applyFont="1" applyFill="1" applyBorder="1" applyAlignment="1">
      <alignment horizontal="right" vertical="center" shrinkToFit="1"/>
    </xf>
    <xf numFmtId="0" fontId="58" fillId="0" borderId="269" xfId="0" applyFont="1" applyBorder="1" applyAlignment="1">
      <alignment vertical="center"/>
    </xf>
    <xf numFmtId="0" fontId="17" fillId="0" borderId="280" xfId="0" applyFont="1" applyBorder="1" applyAlignment="1">
      <alignment vertical="center"/>
    </xf>
    <xf numFmtId="0" fontId="17" fillId="0" borderId="271" xfId="0" applyFont="1" applyBorder="1" applyAlignment="1">
      <alignment vertical="center"/>
    </xf>
    <xf numFmtId="0" fontId="17" fillId="0" borderId="271" xfId="0" applyFont="1" applyFill="1" applyBorder="1" applyAlignment="1">
      <alignment horizontal="right" vertical="center"/>
    </xf>
    <xf numFmtId="0" fontId="56" fillId="0" borderId="236" xfId="0" applyFont="1" applyBorder="1" applyAlignment="1">
      <alignment vertical="center"/>
    </xf>
    <xf numFmtId="0" fontId="60" fillId="0" borderId="237" xfId="0" applyFont="1" applyFill="1" applyBorder="1" applyAlignment="1">
      <alignment vertical="center" shrinkToFit="1"/>
    </xf>
    <xf numFmtId="0" fontId="24" fillId="0" borderId="237" xfId="0" applyFont="1" applyFill="1" applyBorder="1" applyAlignment="1">
      <alignment vertical="center" shrinkToFit="1"/>
    </xf>
    <xf numFmtId="192" fontId="24" fillId="0" borderId="238" xfId="0" applyNumberFormat="1" applyFont="1" applyFill="1" applyBorder="1" applyAlignment="1">
      <alignment horizontal="right" vertical="center" shrinkToFit="1"/>
    </xf>
    <xf numFmtId="10" fontId="24" fillId="0" borderId="238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Border="1" applyAlignment="1">
      <alignment vertical="center"/>
    </xf>
    <xf numFmtId="177" fontId="17" fillId="0" borderId="238" xfId="0" applyNumberFormat="1" applyFont="1" applyBorder="1" applyAlignment="1">
      <alignment vertical="center" shrinkToFit="1"/>
    </xf>
    <xf numFmtId="0" fontId="56" fillId="0" borderId="281" xfId="0" applyFont="1" applyBorder="1" applyAlignment="1">
      <alignment vertical="center"/>
    </xf>
    <xf numFmtId="0" fontId="17" fillId="0" borderId="282" xfId="0" applyFont="1" applyBorder="1" applyAlignment="1">
      <alignment vertical="center"/>
    </xf>
    <xf numFmtId="0" fontId="28" fillId="0" borderId="282" xfId="0" applyFont="1" applyBorder="1" applyAlignment="1">
      <alignment horizontal="right" vertical="center"/>
    </xf>
    <xf numFmtId="177" fontId="17" fillId="0" borderId="242" xfId="0" applyNumberFormat="1" applyFont="1" applyBorder="1" applyAlignment="1">
      <alignment vertical="center"/>
    </xf>
    <xf numFmtId="177" fontId="17" fillId="0" borderId="242" xfId="0" applyNumberFormat="1" applyFont="1" applyBorder="1" applyAlignment="1">
      <alignment vertical="center" shrinkToFit="1"/>
    </xf>
    <xf numFmtId="177" fontId="17" fillId="0" borderId="283" xfId="0" applyNumberFormat="1" applyFont="1" applyBorder="1" applyAlignment="1">
      <alignment vertical="center" shrinkToFit="1"/>
    </xf>
    <xf numFmtId="0" fontId="61" fillId="0" borderId="226" xfId="0" applyFont="1" applyBorder="1" applyAlignment="1">
      <alignment vertical="center"/>
    </xf>
    <xf numFmtId="0" fontId="17" fillId="0" borderId="82" xfId="0" applyFont="1" applyBorder="1" applyAlignment="1">
      <alignment vertical="center"/>
    </xf>
    <xf numFmtId="177" fontId="17" fillId="0" borderId="82" xfId="0" applyNumberFormat="1" applyFont="1" applyBorder="1" applyAlignment="1">
      <alignment vertical="center"/>
    </xf>
    <xf numFmtId="177" fontId="17" fillId="0" borderId="82" xfId="0" applyNumberFormat="1" applyFont="1" applyBorder="1" applyAlignment="1">
      <alignment vertical="center" shrinkToFit="1"/>
    </xf>
    <xf numFmtId="177" fontId="17" fillId="0" borderId="200" xfId="0" applyNumberFormat="1" applyFont="1" applyBorder="1" applyAlignment="1">
      <alignment vertical="center" shrinkToFit="1"/>
    </xf>
    <xf numFmtId="0" fontId="17" fillId="0" borderId="284" xfId="0" applyFont="1" applyBorder="1" applyAlignment="1">
      <alignment vertical="center"/>
    </xf>
    <xf numFmtId="0" fontId="17" fillId="0" borderId="85" xfId="0" applyFont="1" applyBorder="1" applyAlignment="1">
      <alignment vertical="center"/>
    </xf>
    <xf numFmtId="177" fontId="17" fillId="0" borderId="85" xfId="0" applyNumberFormat="1" applyFont="1" applyBorder="1" applyAlignment="1">
      <alignment vertical="center"/>
    </xf>
    <xf numFmtId="177" fontId="17" fillId="0" borderId="85" xfId="0" applyNumberFormat="1" applyFont="1" applyBorder="1" applyAlignment="1">
      <alignment vertical="center" shrinkToFit="1"/>
    </xf>
    <xf numFmtId="177" fontId="17" fillId="0" borderId="98" xfId="0" applyNumberFormat="1" applyFont="1" applyBorder="1" applyAlignment="1">
      <alignment vertical="center" shrinkToFit="1"/>
    </xf>
    <xf numFmtId="0" fontId="51" fillId="0" borderId="0" xfId="0" applyFont="1" applyFill="1" applyBorder="1" applyAlignment="1">
      <alignment horizontal="right"/>
    </xf>
    <xf numFmtId="0" fontId="51" fillId="0" borderId="0" xfId="0" applyFont="1" applyFill="1" applyBorder="1" applyAlignment="1">
      <alignment horizontal="center"/>
    </xf>
    <xf numFmtId="0" fontId="62" fillId="0" borderId="0" xfId="0" applyFont="1" applyFill="1" applyBorder="1" applyAlignment="1">
      <alignment horizontal="center"/>
    </xf>
    <xf numFmtId="0" fontId="63" fillId="0" borderId="0" xfId="0" applyFont="1" applyFill="1" applyBorder="1" applyAlignment="1">
      <alignment horizontal="right"/>
    </xf>
    <xf numFmtId="0" fontId="64" fillId="0" borderId="0" xfId="0" applyFont="1" applyFill="1" applyBorder="1" applyAlignment="1">
      <alignment horizontal="left"/>
    </xf>
    <xf numFmtId="0" fontId="65" fillId="0" borderId="0" xfId="0" applyFont="1" applyFill="1" applyBorder="1" applyAlignment="1">
      <alignment horizontal="center"/>
    </xf>
    <xf numFmtId="0" fontId="65" fillId="0" borderId="0" xfId="0" applyFont="1" applyFill="1" applyBorder="1" applyAlignment="1">
      <alignment horizontal="left"/>
    </xf>
    <xf numFmtId="0" fontId="62" fillId="0" borderId="0" xfId="0" applyFont="1" applyFill="1" applyBorder="1" applyAlignment="1">
      <alignment horizontal="right" shrinkToFit="1"/>
    </xf>
    <xf numFmtId="0" fontId="9" fillId="0" borderId="259" xfId="0" applyFont="1" applyFill="1" applyBorder="1" applyAlignment="1">
      <alignment horizontal="right"/>
    </xf>
    <xf numFmtId="0" fontId="64" fillId="0" borderId="0" xfId="0" applyFont="1" applyFill="1" applyBorder="1" applyAlignment="1">
      <alignment horizontal="distributed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0" fontId="9" fillId="0" borderId="12" xfId="0" applyFont="1" applyFill="1" applyBorder="1" applyAlignment="1">
      <alignment horizontal="center" shrinkToFit="1"/>
    </xf>
    <xf numFmtId="0" fontId="9" fillId="0" borderId="226" xfId="0" applyFont="1" applyFill="1" applyBorder="1" applyAlignment="1">
      <alignment horizontal="right" shrinkToFit="1"/>
    </xf>
    <xf numFmtId="0" fontId="9" fillId="0" borderId="0" xfId="0" applyFont="1" applyFill="1" applyBorder="1" applyAlignment="1">
      <alignment horizontal="right" shrinkToFit="1"/>
    </xf>
    <xf numFmtId="38" fontId="9" fillId="0" borderId="259" xfId="0" applyNumberFormat="1" applyFont="1" applyFill="1" applyBorder="1" applyAlignment="1">
      <alignment horizontal="center" vertical="center" shrinkToFit="1"/>
    </xf>
    <xf numFmtId="191" fontId="4" fillId="24" borderId="82" xfId="0" applyNumberFormat="1" applyFont="1" applyFill="1" applyBorder="1" applyAlignment="1">
      <alignment horizontal="center" shrinkToFit="1"/>
    </xf>
    <xf numFmtId="191" fontId="4" fillId="24" borderId="200" xfId="0" applyNumberFormat="1" applyFont="1" applyFill="1" applyBorder="1" applyAlignment="1">
      <alignment horizontal="center" shrinkToFit="1"/>
    </xf>
    <xf numFmtId="191" fontId="4" fillId="24" borderId="95" xfId="0" applyNumberFormat="1" applyFont="1" applyFill="1" applyBorder="1" applyAlignment="1">
      <alignment horizontal="center" shrinkToFit="1"/>
    </xf>
    <xf numFmtId="191" fontId="4" fillId="24" borderId="31" xfId="0" applyNumberFormat="1" applyFont="1" applyFill="1" applyBorder="1" applyAlignment="1">
      <alignment horizontal="center" shrinkToFit="1"/>
    </xf>
    <xf numFmtId="0" fontId="4" fillId="24" borderId="121" xfId="0" applyFont="1" applyFill="1" applyBorder="1" applyAlignment="1">
      <alignment horizontal="center"/>
    </xf>
    <xf numFmtId="0" fontId="9" fillId="0" borderId="121" xfId="0" applyFont="1" applyFill="1" applyBorder="1" applyAlignment="1">
      <alignment horizontal="center"/>
    </xf>
    <xf numFmtId="0" fontId="4" fillId="29" borderId="120" xfId="0" applyFont="1" applyFill="1" applyBorder="1" applyAlignment="1">
      <alignment horizontal="center" shrinkToFit="1"/>
    </xf>
    <xf numFmtId="0" fontId="4" fillId="29" borderId="204" xfId="0" applyFont="1" applyFill="1" applyBorder="1" applyAlignment="1">
      <alignment horizontal="center" shrinkToFit="1"/>
    </xf>
    <xf numFmtId="0" fontId="66" fillId="0" borderId="95" xfId="0" applyFont="1" applyFill="1" applyBorder="1" applyAlignment="1"/>
    <xf numFmtId="0" fontId="9" fillId="0" borderId="95" xfId="0" applyFont="1" applyFill="1" applyBorder="1" applyAlignment="1">
      <alignment horizontal="center" shrinkToFit="1"/>
    </xf>
    <xf numFmtId="0" fontId="9" fillId="0" borderId="99" xfId="0" applyFont="1" applyFill="1" applyBorder="1" applyAlignment="1">
      <alignment horizontal="center" shrinkToFit="1"/>
    </xf>
    <xf numFmtId="38" fontId="4" fillId="11" borderId="23" xfId="0" applyNumberFormat="1" applyFont="1" applyFill="1" applyBorder="1" applyAlignment="1">
      <alignment horizontal="center" shrinkToFit="1"/>
    </xf>
    <xf numFmtId="38" fontId="4" fillId="11" borderId="31" xfId="0" applyNumberFormat="1" applyFont="1" applyFill="1" applyBorder="1" applyAlignment="1">
      <alignment horizontal="center" shrinkToFit="1"/>
    </xf>
    <xf numFmtId="38" fontId="9" fillId="24" borderId="82" xfId="0" applyNumberFormat="1" applyFont="1" applyFill="1" applyBorder="1" applyAlignment="1">
      <alignment horizontal="right" shrinkToFit="1"/>
    </xf>
    <xf numFmtId="38" fontId="9" fillId="24" borderId="200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/>
    <xf numFmtId="38" fontId="4" fillId="0" borderId="23" xfId="0" applyNumberFormat="1" applyFont="1" applyFill="1" applyBorder="1" applyAlignment="1">
      <alignment horizontal="right"/>
    </xf>
    <xf numFmtId="38" fontId="9" fillId="24" borderId="23" xfId="0" applyNumberFormat="1" applyFont="1" applyFill="1" applyBorder="1" applyAlignment="1">
      <alignment horizontal="right" shrinkToFit="1"/>
    </xf>
    <xf numFmtId="38" fontId="9" fillId="24" borderId="31" xfId="0" applyNumberFormat="1" applyFont="1" applyFill="1" applyBorder="1" applyAlignment="1">
      <alignment horizontal="right" shrinkToFit="1"/>
    </xf>
    <xf numFmtId="38" fontId="9" fillId="24" borderId="121" xfId="0" applyNumberFormat="1" applyFont="1" applyFill="1" applyBorder="1" applyAlignment="1">
      <alignment horizontal="right" shrinkToFit="1"/>
    </xf>
    <xf numFmtId="38" fontId="9" fillId="24" borderId="204" xfId="0" applyNumberFormat="1" applyFont="1" applyFill="1" applyBorder="1" applyAlignment="1">
      <alignment horizontal="right" shrinkToFit="1"/>
    </xf>
    <xf numFmtId="0" fontId="4" fillId="0" borderId="284" xfId="0" applyFont="1" applyFill="1" applyBorder="1" applyAlignment="1">
      <alignment horizontal="right"/>
    </xf>
    <xf numFmtId="0" fontId="4" fillId="0" borderId="259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center"/>
    </xf>
    <xf numFmtId="0" fontId="4" fillId="0" borderId="176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right" shrinkToFit="1"/>
    </xf>
    <xf numFmtId="38" fontId="9" fillId="0" borderId="98" xfId="0" applyNumberFormat="1" applyFont="1" applyFill="1" applyBorder="1" applyAlignment="1">
      <alignment horizontal="right" shrinkToFit="1"/>
    </xf>
    <xf numFmtId="38" fontId="9" fillId="0" borderId="121" xfId="0" applyNumberFormat="1" applyFont="1" applyFill="1" applyBorder="1" applyAlignment="1">
      <alignment horizontal="right" shrinkToFit="1"/>
    </xf>
    <xf numFmtId="38" fontId="9" fillId="0" borderId="204" xfId="0" applyNumberFormat="1" applyFont="1" applyFill="1" applyBorder="1" applyAlignment="1">
      <alignment horizontal="right" shrinkToFit="1"/>
    </xf>
    <xf numFmtId="38" fontId="9" fillId="0" borderId="82" xfId="0" applyNumberFormat="1" applyFont="1" applyFill="1" applyBorder="1" applyAlignment="1">
      <alignment horizontal="right" shrinkToFit="1"/>
    </xf>
    <xf numFmtId="38" fontId="9" fillId="0" borderId="200" xfId="0" applyNumberFormat="1" applyFont="1" applyFill="1" applyBorder="1" applyAlignment="1">
      <alignment horizontal="right" shrinkToFit="1"/>
    </xf>
    <xf numFmtId="0" fontId="4" fillId="0" borderId="141" xfId="0" applyFont="1" applyFill="1" applyBorder="1" applyAlignment="1">
      <alignment horizontal="left"/>
    </xf>
    <xf numFmtId="38" fontId="4" fillId="0" borderId="95" xfId="0" applyNumberFormat="1" applyFont="1" applyFill="1" applyBorder="1" applyAlignment="1">
      <alignment horizontal="right" shrinkToFit="1"/>
    </xf>
    <xf numFmtId="38" fontId="4" fillId="0" borderId="99" xfId="0" applyNumberFormat="1" applyFont="1" applyFill="1" applyBorder="1" applyAlignment="1">
      <alignment horizontal="right" shrinkToFit="1"/>
    </xf>
    <xf numFmtId="0" fontId="4" fillId="0" borderId="142" xfId="0" applyFont="1" applyFill="1" applyBorder="1" applyAlignment="1">
      <alignment horizontal="right"/>
    </xf>
    <xf numFmtId="38" fontId="4" fillId="0" borderId="0" xfId="0" applyNumberFormat="1" applyFont="1" applyFill="1" applyBorder="1" applyAlignment="1">
      <alignment horizontal="right"/>
    </xf>
    <xf numFmtId="0" fontId="4" fillId="0" borderId="14" xfId="0" applyFont="1" applyFill="1" applyBorder="1" applyAlignment="1">
      <alignment horizontal="right"/>
    </xf>
    <xf numFmtId="0" fontId="4" fillId="0" borderId="151" xfId="0" applyFont="1" applyFill="1" applyBorder="1" applyAlignment="1">
      <alignment horizontal="right"/>
    </xf>
    <xf numFmtId="0" fontId="4" fillId="0" borderId="15" xfId="0" applyFont="1" applyFill="1" applyBorder="1" applyAlignment="1">
      <alignment horizontal="right"/>
    </xf>
    <xf numFmtId="0" fontId="44" fillId="0" borderId="0" xfId="0" applyFont="1" applyFill="1" applyBorder="1" applyAlignment="1">
      <alignment horizontal="left"/>
    </xf>
    <xf numFmtId="0" fontId="56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left" shrinkToFit="1"/>
    </xf>
    <xf numFmtId="0" fontId="9" fillId="0" borderId="0" xfId="0" applyFont="1" applyFill="1" applyBorder="1" applyAlignment="1"/>
    <xf numFmtId="0" fontId="4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center" shrinkToFit="1"/>
    </xf>
    <xf numFmtId="0" fontId="9" fillId="0" borderId="232" xfId="0" applyFont="1" applyFill="1" applyBorder="1" applyAlignment="1">
      <alignment horizontal="center" shrinkToFit="1"/>
    </xf>
    <xf numFmtId="177" fontId="24" fillId="31" borderId="23" xfId="0" applyNumberFormat="1" applyFont="1" applyFill="1" applyBorder="1" applyAlignment="1">
      <alignment horizontal="right" vertical="center" shrinkToFit="1"/>
    </xf>
    <xf numFmtId="177" fontId="24" fillId="31" borderId="31" xfId="0" applyNumberFormat="1" applyFont="1" applyFill="1" applyBorder="1" applyAlignment="1">
      <alignment horizontal="right" vertical="center" shrinkToFit="1"/>
    </xf>
    <xf numFmtId="38" fontId="9" fillId="24" borderId="85" xfId="0" applyNumberFormat="1" applyFont="1" applyFill="1" applyBorder="1" applyAlignment="1">
      <alignment horizontal="right" shrinkToFit="1"/>
    </xf>
    <xf numFmtId="38" fontId="9" fillId="24" borderId="98" xfId="0" applyNumberFormat="1" applyFont="1" applyFill="1" applyBorder="1" applyAlignment="1">
      <alignment horizontal="right" shrinkToFit="1"/>
    </xf>
    <xf numFmtId="0" fontId="44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 shrinkToFit="1"/>
    </xf>
    <xf numFmtId="38" fontId="9" fillId="0" borderId="89" xfId="0" applyNumberFormat="1" applyFont="1" applyFill="1" applyBorder="1" applyAlignment="1">
      <alignment horizontal="right"/>
    </xf>
    <xf numFmtId="38" fontId="9" fillId="0" borderId="89" xfId="0" applyNumberFormat="1" applyFont="1" applyFill="1" applyBorder="1" applyAlignment="1">
      <alignment horizontal="right" shrinkToFit="1"/>
    </xf>
    <xf numFmtId="38" fontId="9" fillId="0" borderId="100" xfId="0" applyNumberFormat="1" applyFont="1" applyFill="1" applyBorder="1" applyAlignment="1">
      <alignment horizontal="right" shrinkToFit="1"/>
    </xf>
    <xf numFmtId="0" fontId="4" fillId="0" borderId="83" xfId="0" applyFont="1" applyFill="1" applyBorder="1" applyAlignment="1"/>
    <xf numFmtId="0" fontId="4" fillId="0" borderId="233" xfId="0" applyFont="1" applyFill="1" applyBorder="1" applyAlignment="1"/>
    <xf numFmtId="0" fontId="4" fillId="0" borderId="231" xfId="0" applyFont="1" applyFill="1" applyBorder="1" applyAlignment="1">
      <alignment horizontal="center" shrinkToFit="1"/>
    </xf>
    <xf numFmtId="10" fontId="4" fillId="0" borderId="231" xfId="0" applyNumberFormat="1" applyFont="1" applyFill="1" applyBorder="1" applyAlignment="1">
      <alignment horizontal="right" shrinkToFit="1"/>
    </xf>
    <xf numFmtId="38" fontId="9" fillId="0" borderId="231" xfId="0" applyNumberFormat="1" applyFont="1" applyFill="1" applyBorder="1" applyAlignment="1">
      <alignment horizontal="right"/>
    </xf>
    <xf numFmtId="38" fontId="9" fillId="0" borderId="231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 shrinkToFit="1"/>
    </xf>
    <xf numFmtId="193" fontId="4" fillId="0" borderId="23" xfId="0" applyNumberFormat="1" applyFont="1" applyFill="1" applyBorder="1" applyAlignment="1">
      <alignment horizontal="right" shrinkToFit="1"/>
    </xf>
    <xf numFmtId="10" fontId="4" fillId="0" borderId="23" xfId="0" quotePrefix="1" applyNumberFormat="1" applyFont="1" applyFill="1" applyBorder="1" applyAlignment="1">
      <alignment horizontal="center" shrinkToFit="1"/>
    </xf>
    <xf numFmtId="10" fontId="4" fillId="0" borderId="23" xfId="0" applyNumberFormat="1" applyFont="1" applyFill="1" applyBorder="1" applyAlignment="1">
      <alignment horizontal="right" shrinkToFit="1"/>
    </xf>
    <xf numFmtId="0" fontId="4" fillId="0" borderId="23" xfId="0" quotePrefix="1" applyFont="1" applyFill="1" applyBorder="1" applyAlignment="1">
      <alignment horizontal="left" shrinkToFit="1"/>
    </xf>
    <xf numFmtId="0" fontId="4" fillId="0" borderId="203" xfId="0" applyFont="1" applyFill="1" applyBorder="1" applyAlignment="1">
      <alignment horizontal="center" vertical="center" shrinkToFit="1"/>
    </xf>
    <xf numFmtId="49" fontId="51" fillId="0" borderId="85" xfId="0" applyNumberFormat="1" applyFont="1" applyFill="1" applyBorder="1" applyAlignment="1">
      <alignment horizontal="left" shrinkToFit="1"/>
    </xf>
    <xf numFmtId="193" fontId="4" fillId="0" borderId="85" xfId="0" applyNumberFormat="1" applyFont="1" applyFill="1" applyBorder="1" applyAlignment="1">
      <alignment horizontal="right" shrinkToFit="1"/>
    </xf>
    <xf numFmtId="10" fontId="4" fillId="0" borderId="85" xfId="0" applyNumberFormat="1" applyFont="1" applyFill="1" applyBorder="1" applyAlignment="1">
      <alignment horizontal="right" shrinkToFit="1"/>
    </xf>
    <xf numFmtId="0" fontId="4" fillId="0" borderId="224" xfId="0" applyFont="1" applyFill="1" applyBorder="1" applyAlignment="1">
      <alignment horizontal="center" shrinkToFit="1"/>
    </xf>
    <xf numFmtId="0" fontId="4" fillId="0" borderId="225" xfId="0" applyFont="1" applyFill="1" applyBorder="1" applyAlignment="1">
      <alignment horizontal="center" vertical="center" shrinkToFit="1"/>
    </xf>
    <xf numFmtId="0" fontId="4" fillId="0" borderId="225" xfId="0" applyFont="1" applyFill="1" applyBorder="1" applyAlignment="1">
      <alignment horizontal="left" shrinkToFit="1"/>
    </xf>
    <xf numFmtId="38" fontId="9" fillId="0" borderId="232" xfId="0" applyNumberFormat="1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left" shrinkToFit="1"/>
    </xf>
    <xf numFmtId="193" fontId="4" fillId="0" borderId="231" xfId="0" applyNumberFormat="1" applyFont="1" applyFill="1" applyBorder="1" applyAlignment="1">
      <alignment vertical="center" shrinkToFit="1"/>
    </xf>
    <xf numFmtId="10" fontId="4" fillId="0" borderId="82" xfId="0" applyNumberFormat="1" applyFont="1" applyFill="1" applyBorder="1" applyAlignment="1">
      <alignment horizontal="center" vertical="center"/>
    </xf>
    <xf numFmtId="38" fontId="17" fillId="0" borderId="82" xfId="0" applyNumberFormat="1" applyFont="1" applyFill="1" applyBorder="1" applyAlignment="1">
      <alignment horizontal="right"/>
    </xf>
    <xf numFmtId="10" fontId="4" fillId="0" borderId="82" xfId="0" applyNumberFormat="1" applyFont="1" applyFill="1" applyBorder="1" applyAlignment="1">
      <alignment horizontal="left" vertical="center" shrinkToFit="1"/>
    </xf>
    <xf numFmtId="10" fontId="4" fillId="0" borderId="200" xfId="0" applyNumberFormat="1" applyFont="1" applyFill="1" applyBorder="1" applyAlignment="1">
      <alignment horizontal="left" vertical="center" shrinkToFit="1"/>
    </xf>
    <xf numFmtId="0" fontId="4" fillId="0" borderId="95" xfId="0" applyFont="1" applyFill="1" applyBorder="1" applyAlignment="1">
      <alignment horizontal="left" shrinkToFit="1"/>
    </xf>
    <xf numFmtId="193" fontId="4" fillId="0" borderId="95" xfId="0" applyNumberFormat="1" applyFont="1" applyFill="1" applyBorder="1" applyAlignment="1">
      <alignment vertical="top" shrinkToFit="1"/>
    </xf>
    <xf numFmtId="10" fontId="4" fillId="0" borderId="23" xfId="0" applyNumberFormat="1" applyFont="1" applyFill="1" applyBorder="1" applyAlignment="1">
      <alignment horizontal="center" vertical="center"/>
    </xf>
    <xf numFmtId="0" fontId="4" fillId="0" borderId="120" xfId="0" applyFont="1" applyFill="1" applyBorder="1" applyAlignment="1">
      <alignment horizontal="left" shrinkToFit="1"/>
    </xf>
    <xf numFmtId="0" fontId="4" fillId="0" borderId="139" xfId="0" applyFont="1" applyFill="1" applyBorder="1" applyAlignment="1"/>
    <xf numFmtId="38" fontId="17" fillId="0" borderId="23" xfId="0" applyNumberFormat="1" applyFont="1" applyFill="1" applyBorder="1" applyAlignment="1">
      <alignment horizontal="right"/>
    </xf>
    <xf numFmtId="10" fontId="4" fillId="0" borderId="23" xfId="0" applyNumberFormat="1" applyFont="1" applyFill="1" applyBorder="1" applyAlignment="1">
      <alignment horizontal="left" shrinkToFit="1"/>
    </xf>
    <xf numFmtId="10" fontId="4" fillId="0" borderId="31" xfId="0" applyNumberFormat="1" applyFont="1" applyFill="1" applyBorder="1" applyAlignment="1">
      <alignment horizontal="left" shrinkToFit="1"/>
    </xf>
    <xf numFmtId="193" fontId="4" fillId="0" borderId="95" xfId="0" applyNumberFormat="1" applyFont="1" applyFill="1" applyBorder="1" applyAlignment="1">
      <alignment shrinkToFit="1"/>
    </xf>
    <xf numFmtId="193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left" vertical="center" shrinkToFit="1"/>
    </xf>
    <xf numFmtId="0" fontId="4" fillId="0" borderId="289" xfId="0" applyFont="1" applyFill="1" applyBorder="1" applyAlignment="1">
      <alignment horizontal="center" vertical="center" shrinkToFit="1"/>
    </xf>
    <xf numFmtId="49" fontId="4" fillId="0" borderId="85" xfId="0" applyNumberFormat="1" applyFont="1" applyFill="1" applyBorder="1" applyAlignment="1">
      <alignment horizontal="left" shrinkToFit="1"/>
    </xf>
    <xf numFmtId="193" fontId="4" fillId="0" borderId="290" xfId="0" applyNumberFormat="1" applyFont="1" applyFill="1" applyBorder="1" applyAlignment="1">
      <alignment shrinkToFit="1"/>
    </xf>
    <xf numFmtId="10" fontId="4" fillId="0" borderId="290" xfId="0" applyNumberFormat="1" applyFont="1" applyFill="1" applyBorder="1" applyAlignment="1">
      <alignment horizontal="right" shrinkToFit="1"/>
    </xf>
    <xf numFmtId="38" fontId="9" fillId="0" borderId="290" xfId="0" applyNumberFormat="1" applyFont="1" applyFill="1" applyBorder="1" applyAlignment="1">
      <alignment horizontal="right"/>
    </xf>
    <xf numFmtId="0" fontId="4" fillId="0" borderId="240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right"/>
    </xf>
    <xf numFmtId="0" fontId="4" fillId="0" borderId="241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left"/>
    </xf>
    <xf numFmtId="0" fontId="4" fillId="0" borderId="242" xfId="0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/>
    </xf>
    <xf numFmtId="38" fontId="9" fillId="0" borderId="242" xfId="0" applyNumberFormat="1" applyFont="1" applyFill="1" applyBorder="1" applyAlignment="1">
      <alignment horizontal="right" shrinkToFit="1"/>
    </xf>
    <xf numFmtId="38" fontId="9" fillId="0" borderId="243" xfId="0" applyNumberFormat="1" applyFont="1" applyFill="1" applyBorder="1" applyAlignment="1">
      <alignment horizontal="right" shrinkToFit="1"/>
    </xf>
    <xf numFmtId="38" fontId="9" fillId="0" borderId="0" xfId="0" applyNumberFormat="1" applyFont="1" applyFill="1" applyBorder="1" applyAlignment="1">
      <alignment horizontal="right"/>
    </xf>
    <xf numFmtId="0" fontId="4" fillId="0" borderId="85" xfId="0" applyFont="1" applyFill="1" applyBorder="1" applyAlignment="1">
      <alignment horizontal="left" shrinkToFit="1"/>
    </xf>
    <xf numFmtId="10" fontId="4" fillId="0" borderId="23" xfId="2" applyNumberFormat="1" applyFont="1" applyFill="1" applyBorder="1" applyAlignment="1">
      <alignment horizontal="left" shrinkToFit="1"/>
    </xf>
    <xf numFmtId="193" fontId="4" fillId="0" borderId="120" xfId="0" applyNumberFormat="1" applyFont="1" applyFill="1" applyBorder="1" applyAlignment="1">
      <alignment shrinkToFit="1"/>
    </xf>
    <xf numFmtId="10" fontId="4" fillId="0" borderId="120" xfId="0" applyNumberFormat="1" applyFont="1" applyFill="1" applyBorder="1" applyAlignment="1">
      <alignment horizontal="right" shrinkToFit="1"/>
    </xf>
    <xf numFmtId="38" fontId="9" fillId="30" borderId="23" xfId="0" applyNumberFormat="1" applyFont="1" applyFill="1" applyBorder="1" applyAlignment="1">
      <alignment horizontal="right" shrinkToFit="1"/>
    </xf>
    <xf numFmtId="38" fontId="9" fillId="30" borderId="31" xfId="0" applyNumberFormat="1" applyFont="1" applyFill="1" applyBorder="1" applyAlignment="1">
      <alignment horizontal="right" shrinkToFit="1"/>
    </xf>
    <xf numFmtId="0" fontId="28" fillId="0" borderId="23" xfId="0" applyFont="1" applyFill="1" applyBorder="1" applyAlignment="1">
      <alignment horizontal="left" shrinkToFit="1"/>
    </xf>
    <xf numFmtId="0" fontId="4" fillId="0" borderId="201" xfId="0" applyFont="1" applyFill="1" applyBorder="1" applyAlignment="1">
      <alignment horizontal="center" vertical="center" shrinkToFit="1"/>
    </xf>
    <xf numFmtId="38" fontId="4" fillId="0" borderId="291" xfId="0" applyNumberFormat="1" applyFont="1" applyFill="1" applyBorder="1" applyAlignment="1">
      <alignment horizontal="right" shrinkToFit="1"/>
    </xf>
    <xf numFmtId="0" fontId="4" fillId="0" borderId="292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right"/>
    </xf>
    <xf numFmtId="0" fontId="4" fillId="0" borderId="249" xfId="0" applyFont="1" applyFill="1" applyBorder="1" applyAlignment="1">
      <alignment horizontal="left"/>
    </xf>
    <xf numFmtId="0" fontId="4" fillId="0" borderId="293" xfId="0" applyFont="1" applyFill="1" applyBorder="1" applyAlignment="1">
      <alignment horizontal="left"/>
    </xf>
    <xf numFmtId="0" fontId="4" fillId="0" borderId="293" xfId="0" applyFont="1" applyFill="1" applyBorder="1" applyAlignment="1">
      <alignment horizontal="right"/>
    </xf>
    <xf numFmtId="38" fontId="9" fillId="0" borderId="293" xfId="0" applyNumberFormat="1" applyFont="1" applyFill="1" applyBorder="1" applyAlignment="1">
      <alignment horizontal="right"/>
    </xf>
    <xf numFmtId="38" fontId="9" fillId="0" borderId="293" xfId="0" applyNumberFormat="1" applyFont="1" applyFill="1" applyBorder="1" applyAlignment="1">
      <alignment horizontal="right" shrinkToFit="1"/>
    </xf>
    <xf numFmtId="38" fontId="9" fillId="0" borderId="294" xfId="0" applyNumberFormat="1" applyFont="1" applyFill="1" applyBorder="1" applyAlignment="1">
      <alignment horizontal="right" shrinkToFit="1"/>
    </xf>
    <xf numFmtId="0" fontId="4" fillId="0" borderId="175" xfId="0" applyFont="1" applyFill="1" applyBorder="1" applyAlignment="1">
      <alignment horizontal="right"/>
    </xf>
    <xf numFmtId="0" fontId="4" fillId="0" borderId="176" xfId="0" applyFont="1" applyFill="1" applyBorder="1" applyAlignment="1">
      <alignment horizontal="right"/>
    </xf>
    <xf numFmtId="0" fontId="4" fillId="0" borderId="85" xfId="0" applyFont="1" applyFill="1" applyBorder="1" applyAlignment="1">
      <alignment horizontal="left"/>
    </xf>
    <xf numFmtId="0" fontId="9" fillId="0" borderId="259" xfId="0" applyFont="1" applyFill="1" applyBorder="1" applyAlignment="1">
      <alignment horizontal="right" shrinkToFit="1"/>
    </xf>
    <xf numFmtId="0" fontId="4" fillId="0" borderId="231" xfId="0" applyFont="1" applyFill="1" applyBorder="1" applyAlignment="1">
      <alignment horizontal="center" wrapText="1"/>
    </xf>
    <xf numFmtId="0" fontId="10" fillId="0" borderId="89" xfId="0" applyFont="1" applyFill="1" applyBorder="1" applyAlignment="1">
      <alignment horizontal="center" wrapText="1"/>
    </xf>
    <xf numFmtId="0" fontId="4" fillId="0" borderId="89" xfId="0" applyFont="1" applyFill="1" applyBorder="1" applyAlignment="1">
      <alignment horizontal="right"/>
    </xf>
    <xf numFmtId="0" fontId="9" fillId="0" borderId="89" xfId="0" applyFont="1" applyFill="1" applyBorder="1" applyAlignment="1">
      <alignment horizontal="center" shrinkToFit="1"/>
    </xf>
    <xf numFmtId="0" fontId="9" fillId="0" borderId="100" xfId="0" applyFont="1" applyFill="1" applyBorder="1" applyAlignment="1">
      <alignment horizontal="center" shrinkToFit="1"/>
    </xf>
    <xf numFmtId="0" fontId="4" fillId="0" borderId="177" xfId="0" applyFont="1" applyFill="1" applyBorder="1" applyAlignment="1">
      <alignment horizontal="right"/>
    </xf>
    <xf numFmtId="0" fontId="4" fillId="0" borderId="178" xfId="0" applyFont="1" applyFill="1" applyBorder="1" applyAlignment="1">
      <alignment horizontal="right"/>
    </xf>
    <xf numFmtId="0" fontId="4" fillId="0" borderId="233" xfId="0" applyFont="1" applyFill="1" applyBorder="1" applyAlignment="1">
      <alignment horizontal="left"/>
    </xf>
    <xf numFmtId="0" fontId="4" fillId="0" borderId="82" xfId="0" applyFont="1" applyFill="1" applyBorder="1" applyAlignment="1">
      <alignment horizontal="left"/>
    </xf>
    <xf numFmtId="0" fontId="4" fillId="0" borderId="83" xfId="0" applyFont="1" applyFill="1" applyBorder="1" applyAlignment="1">
      <alignment horizontal="center"/>
    </xf>
    <xf numFmtId="38" fontId="9" fillId="0" borderId="184" xfId="0" applyNumberFormat="1" applyFont="1" applyFill="1" applyBorder="1" applyAlignment="1">
      <alignment horizontal="right"/>
    </xf>
    <xf numFmtId="38" fontId="9" fillId="0" borderId="233" xfId="0" applyNumberFormat="1" applyFont="1" applyFill="1" applyBorder="1" applyAlignment="1">
      <alignment horizontal="right"/>
    </xf>
    <xf numFmtId="38" fontId="9" fillId="0" borderId="200" xfId="0" applyNumberFormat="1" applyFont="1" applyFill="1" applyBorder="1" applyAlignment="1">
      <alignment horizontal="right"/>
    </xf>
    <xf numFmtId="0" fontId="4" fillId="0" borderId="228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left"/>
    </xf>
    <xf numFmtId="0" fontId="4" fillId="0" borderId="121" xfId="0" applyFont="1" applyFill="1" applyBorder="1" applyAlignment="1">
      <alignment horizontal="center"/>
    </xf>
    <xf numFmtId="38" fontId="9" fillId="0" borderId="204" xfId="0" applyNumberFormat="1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/>
    </xf>
    <xf numFmtId="0" fontId="44" fillId="0" borderId="89" xfId="0" applyFont="1" applyFill="1" applyBorder="1" applyAlignment="1">
      <alignment horizontal="left"/>
    </xf>
    <xf numFmtId="0" fontId="4" fillId="0" borderId="85" xfId="0" applyFont="1" applyFill="1" applyBorder="1" applyAlignment="1">
      <alignment horizontal="center"/>
    </xf>
    <xf numFmtId="0" fontId="4" fillId="0" borderId="82" xfId="0" applyFont="1" applyFill="1" applyBorder="1" applyAlignment="1">
      <alignment horizontal="center" shrinkToFit="1"/>
    </xf>
    <xf numFmtId="0" fontId="4" fillId="0" borderId="82" xfId="0" applyFont="1" applyFill="1" applyBorder="1" applyAlignment="1">
      <alignment horizontal="left" shrinkToFit="1"/>
    </xf>
    <xf numFmtId="0" fontId="4" fillId="0" borderId="82" xfId="0" applyFont="1" applyFill="1" applyBorder="1" applyAlignment="1">
      <alignment shrinkToFit="1"/>
    </xf>
    <xf numFmtId="10" fontId="4" fillId="0" borderId="82" xfId="0" quotePrefix="1" applyNumberFormat="1" applyFont="1" applyFill="1" applyBorder="1" applyAlignment="1">
      <alignment horizontal="right" shrinkToFit="1"/>
    </xf>
    <xf numFmtId="0" fontId="4" fillId="0" borderId="23" xfId="0" applyNumberFormat="1" applyFont="1" applyFill="1" applyBorder="1" applyAlignment="1">
      <alignment shrinkToFit="1"/>
    </xf>
    <xf numFmtId="0" fontId="4" fillId="0" borderId="23" xfId="0" applyFont="1" applyFill="1" applyBorder="1" applyAlignment="1">
      <alignment horizontal="center"/>
    </xf>
    <xf numFmtId="0" fontId="4" fillId="0" borderId="23" xfId="0" applyFont="1" applyFill="1" applyBorder="1" applyAlignment="1">
      <alignment horizontal="right" shrinkToFit="1"/>
    </xf>
    <xf numFmtId="0" fontId="4" fillId="0" borderId="23" xfId="0" applyFont="1" applyFill="1" applyBorder="1" applyAlignment="1">
      <alignment shrinkToFit="1"/>
    </xf>
    <xf numFmtId="9" fontId="4" fillId="0" borderId="23" xfId="0" applyNumberFormat="1" applyFont="1" applyFill="1" applyBorder="1" applyAlignment="1">
      <alignment horizontal="right" shrinkToFit="1"/>
    </xf>
    <xf numFmtId="0" fontId="4" fillId="0" borderId="23" xfId="0" applyFont="1" applyFill="1" applyBorder="1" applyAlignment="1">
      <alignment horizontal="left"/>
    </xf>
    <xf numFmtId="0" fontId="4" fillId="0" borderId="120" xfId="0" applyFont="1" applyFill="1" applyBorder="1" applyAlignment="1">
      <alignment horizontal="left"/>
    </xf>
    <xf numFmtId="9" fontId="4" fillId="0" borderId="85" xfId="0" applyNumberFormat="1" applyFont="1" applyFill="1" applyBorder="1" applyAlignment="1">
      <alignment horizontal="right" shrinkToFit="1"/>
    </xf>
    <xf numFmtId="0" fontId="4" fillId="0" borderId="229" xfId="0" applyFont="1" applyFill="1" applyBorder="1" applyAlignment="1">
      <alignment horizontal="right"/>
    </xf>
    <xf numFmtId="0" fontId="4" fillId="0" borderId="231" xfId="0" applyFont="1" applyFill="1" applyBorder="1" applyAlignment="1">
      <alignment horizontal="right" shrinkToFit="1"/>
    </xf>
    <xf numFmtId="0" fontId="4" fillId="0" borderId="82" xfId="0" applyFont="1" applyFill="1" applyBorder="1" applyAlignment="1">
      <alignment horizontal="right" shrinkToFit="1"/>
    </xf>
    <xf numFmtId="0" fontId="44" fillId="0" borderId="89" xfId="0" applyFont="1" applyFill="1" applyBorder="1" applyAlignment="1">
      <alignment horizontal="left" shrinkToFit="1"/>
    </xf>
    <xf numFmtId="0" fontId="4" fillId="0" borderId="85" xfId="0" applyFont="1" applyFill="1" applyBorder="1" applyAlignment="1">
      <alignment horizontal="right" shrinkToFit="1"/>
    </xf>
    <xf numFmtId="38" fontId="66" fillId="0" borderId="85" xfId="0" applyNumberFormat="1" applyFont="1" applyFill="1" applyBorder="1" applyAlignment="1">
      <alignment horizontal="right" shrinkToFit="1"/>
    </xf>
    <xf numFmtId="0" fontId="4" fillId="0" borderId="95" xfId="0" applyFont="1" applyFill="1" applyBorder="1" applyAlignment="1">
      <alignment horizontal="center" shrinkToFit="1"/>
    </xf>
    <xf numFmtId="10" fontId="4" fillId="0" borderId="82" xfId="0" applyNumberFormat="1" applyFont="1" applyFill="1" applyBorder="1" applyAlignment="1">
      <alignment horizontal="right" shrinkToFit="1"/>
    </xf>
    <xf numFmtId="0" fontId="4" fillId="0" borderId="149" xfId="0" applyFont="1" applyFill="1" applyBorder="1" applyAlignment="1">
      <alignment horizontal="right"/>
    </xf>
    <xf numFmtId="193" fontId="4" fillId="0" borderId="121" xfId="0" applyNumberFormat="1" applyFont="1" applyFill="1" applyBorder="1" applyAlignment="1">
      <alignment shrinkToFit="1"/>
    </xf>
    <xf numFmtId="10" fontId="4" fillId="0" borderId="121" xfId="0" applyNumberFormat="1" applyFont="1" applyFill="1" applyBorder="1" applyAlignment="1">
      <alignment horizontal="right" shrinkToFit="1"/>
    </xf>
    <xf numFmtId="38" fontId="4" fillId="0" borderId="95" xfId="0" applyNumberFormat="1" applyFont="1" applyFill="1" applyBorder="1" applyAlignment="1">
      <alignment horizontal="right"/>
    </xf>
    <xf numFmtId="38" fontId="9" fillId="30" borderId="95" xfId="0" applyNumberFormat="1" applyFont="1" applyFill="1" applyBorder="1" applyAlignment="1">
      <alignment horizontal="right" shrinkToFit="1"/>
    </xf>
    <xf numFmtId="38" fontId="9" fillId="30" borderId="99" xfId="0" applyNumberFormat="1" applyFont="1" applyFill="1" applyBorder="1" applyAlignment="1">
      <alignment horizontal="right" shrinkToFit="1"/>
    </xf>
    <xf numFmtId="0" fontId="59" fillId="0" borderId="23" xfId="0" applyFont="1" applyFill="1" applyBorder="1" applyAlignment="1">
      <alignment horizontal="left" shrinkToFit="1"/>
    </xf>
    <xf numFmtId="0" fontId="4" fillId="0" borderId="115" xfId="0" applyFont="1" applyFill="1" applyBorder="1" applyAlignment="1">
      <alignment horizontal="right"/>
    </xf>
    <xf numFmtId="0" fontId="4" fillId="0" borderId="295" xfId="0" applyFont="1" applyFill="1" applyBorder="1" applyAlignment="1">
      <alignment horizontal="right"/>
    </xf>
    <xf numFmtId="0" fontId="4" fillId="0" borderId="296" xfId="0" applyFont="1" applyFill="1" applyBorder="1" applyAlignment="1">
      <alignment horizontal="right"/>
    </xf>
    <xf numFmtId="0" fontId="4" fillId="0" borderId="296" xfId="0" applyFont="1" applyFill="1" applyBorder="1" applyAlignment="1">
      <alignment horizontal="left"/>
    </xf>
    <xf numFmtId="0" fontId="4" fillId="0" borderId="290" xfId="0" applyFont="1" applyFill="1" applyBorder="1" applyAlignment="1">
      <alignment horizontal="left"/>
    </xf>
    <xf numFmtId="0" fontId="4" fillId="0" borderId="290" xfId="0" applyFont="1" applyFill="1" applyBorder="1" applyAlignment="1">
      <alignment horizontal="right"/>
    </xf>
    <xf numFmtId="38" fontId="9" fillId="0" borderId="290" xfId="0" applyNumberFormat="1" applyFont="1" applyFill="1" applyBorder="1" applyAlignment="1">
      <alignment horizontal="right" shrinkToFit="1"/>
    </xf>
    <xf numFmtId="38" fontId="9" fillId="0" borderId="33" xfId="0" applyNumberFormat="1" applyFont="1" applyFill="1" applyBorder="1" applyAlignment="1">
      <alignment horizontal="right" shrinkToFit="1"/>
    </xf>
    <xf numFmtId="176" fontId="9" fillId="0" borderId="121" xfId="0" applyNumberFormat="1" applyFont="1" applyFill="1" applyBorder="1" applyAlignment="1">
      <alignment horizontal="right" shrinkToFit="1"/>
    </xf>
    <xf numFmtId="176" fontId="9" fillId="0" borderId="297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>
      <alignment shrinkToFit="1"/>
    </xf>
    <xf numFmtId="38" fontId="4" fillId="0" borderId="23" xfId="0" applyNumberFormat="1" applyFont="1" applyFill="1" applyBorder="1" applyAlignment="1">
      <alignment shrinkToFit="1"/>
    </xf>
    <xf numFmtId="38" fontId="4" fillId="0" borderId="31" xfId="0" applyNumberFormat="1" applyFont="1" applyFill="1" applyBorder="1" applyAlignment="1">
      <alignment shrinkToFit="1"/>
    </xf>
    <xf numFmtId="0" fontId="4" fillId="0" borderId="115" xfId="0" applyFont="1" applyFill="1" applyBorder="1" applyAlignment="1"/>
    <xf numFmtId="0" fontId="4" fillId="0" borderId="23" xfId="0" applyFont="1" applyFill="1" applyBorder="1" applyAlignment="1"/>
    <xf numFmtId="38" fontId="4" fillId="0" borderId="23" xfId="0" applyNumberFormat="1" applyFont="1" applyFill="1" applyBorder="1" applyAlignment="1"/>
    <xf numFmtId="0" fontId="4" fillId="0" borderId="284" xfId="0" applyFont="1" applyFill="1" applyBorder="1" applyAlignment="1"/>
    <xf numFmtId="0" fontId="4" fillId="0" borderId="259" xfId="0" applyFont="1" applyFill="1" applyBorder="1" applyAlignment="1"/>
    <xf numFmtId="0" fontId="4" fillId="0" borderId="89" xfId="0" applyFont="1" applyFill="1" applyBorder="1" applyAlignment="1"/>
    <xf numFmtId="176" fontId="4" fillId="0" borderId="89" xfId="0" applyNumberFormat="1" applyFont="1" applyFill="1" applyBorder="1" applyAlignment="1">
      <alignment shrinkToFit="1"/>
    </xf>
    <xf numFmtId="176" fontId="4" fillId="0" borderId="89" xfId="0" applyNumberFormat="1" applyFont="1" applyFill="1" applyBorder="1" applyAlignment="1"/>
    <xf numFmtId="176" fontId="4" fillId="0" borderId="100" xfId="0" applyNumberFormat="1" applyFont="1" applyFill="1" applyBorder="1" applyAlignment="1">
      <alignment shrinkToFit="1"/>
    </xf>
    <xf numFmtId="38" fontId="4" fillId="0" borderId="0" xfId="3" applyFont="1" applyFill="1" applyBorder="1" applyAlignment="1"/>
    <xf numFmtId="0" fontId="4" fillId="0" borderId="0" xfId="0" applyFont="1" applyFill="1" applyBorder="1" applyAlignment="1">
      <alignment horizontal="center" vertical="center" shrinkToFit="1"/>
    </xf>
    <xf numFmtId="0" fontId="4" fillId="0" borderId="0" xfId="0" applyFont="1" applyFill="1" applyBorder="1" applyAlignment="1">
      <alignment shrinkToFit="1"/>
    </xf>
    <xf numFmtId="0" fontId="4" fillId="0" borderId="125" xfId="0" applyFont="1" applyFill="1" applyBorder="1" applyAlignment="1"/>
    <xf numFmtId="0" fontId="4" fillId="0" borderId="298" xfId="0" applyFont="1" applyFill="1" applyBorder="1" applyAlignment="1"/>
    <xf numFmtId="0" fontId="56" fillId="0" borderId="51" xfId="0" applyFont="1" applyFill="1" applyBorder="1" applyAlignment="1"/>
    <xf numFmtId="0" fontId="4" fillId="0" borderId="124" xfId="0" applyFont="1" applyFill="1" applyBorder="1" applyAlignment="1"/>
    <xf numFmtId="0" fontId="4" fillId="0" borderId="111" xfId="0" applyFont="1" applyFill="1" applyBorder="1" applyAlignment="1">
      <alignment horizontal="center" vertical="center" shrinkToFit="1"/>
    </xf>
    <xf numFmtId="194" fontId="4" fillId="0" borderId="111" xfId="0" applyNumberFormat="1" applyFont="1" applyFill="1" applyBorder="1" applyAlignment="1">
      <alignment horizontal="center"/>
    </xf>
    <xf numFmtId="194" fontId="4" fillId="0" borderId="59" xfId="0" applyNumberFormat="1" applyFont="1" applyFill="1" applyBorder="1" applyAlignment="1">
      <alignment horizontal="center"/>
    </xf>
    <xf numFmtId="0" fontId="28" fillId="0" borderId="52" xfId="0" applyFont="1" applyFill="1" applyBorder="1" applyAlignment="1">
      <alignment shrinkToFit="1"/>
    </xf>
    <xf numFmtId="0" fontId="4" fillId="0" borderId="140" xfId="0" applyFont="1" applyFill="1" applyBorder="1" applyAlignment="1"/>
    <xf numFmtId="0" fontId="4" fillId="0" borderId="23" xfId="0" applyFont="1" applyFill="1" applyBorder="1" applyAlignment="1">
      <alignment horizontal="center" vertical="center"/>
    </xf>
    <xf numFmtId="193" fontId="4" fillId="17" borderId="23" xfId="0" applyNumberFormat="1" applyFont="1" applyFill="1" applyBorder="1" applyAlignment="1" applyProtection="1">
      <alignment horizontal="center" vertical="center"/>
    </xf>
    <xf numFmtId="0" fontId="4" fillId="0" borderId="201" xfId="0" applyFont="1" applyFill="1" applyBorder="1" applyAlignment="1"/>
    <xf numFmtId="193" fontId="4" fillId="0" borderId="23" xfId="2" applyNumberFormat="1" applyFont="1" applyFill="1" applyBorder="1" applyAlignment="1" applyProtection="1">
      <alignment horizontal="center" vertical="center"/>
    </xf>
    <xf numFmtId="0" fontId="4" fillId="0" borderId="141" xfId="0" applyFont="1" applyFill="1" applyBorder="1" applyAlignment="1"/>
    <xf numFmtId="0" fontId="4" fillId="0" borderId="156" xfId="0" applyFont="1" applyFill="1" applyBorder="1" applyAlignment="1"/>
    <xf numFmtId="2" fontId="4" fillId="0" borderId="23" xfId="0" applyNumberFormat="1" applyFont="1" applyFill="1" applyBorder="1" applyAlignment="1" applyProtection="1">
      <alignment horizontal="center" vertical="center"/>
    </xf>
    <xf numFmtId="2" fontId="4" fillId="0" borderId="135" xfId="0" applyNumberFormat="1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>
      <alignment horizontal="center" shrinkToFit="1"/>
    </xf>
    <xf numFmtId="0" fontId="4" fillId="0" borderId="23" xfId="0" applyFont="1" applyFill="1" applyBorder="1" applyAlignment="1" applyProtection="1">
      <alignment horizontal="center" vertical="center"/>
    </xf>
    <xf numFmtId="0" fontId="4" fillId="0" borderId="157" xfId="0" applyFont="1" applyFill="1" applyBorder="1" applyAlignment="1"/>
    <xf numFmtId="0" fontId="4" fillId="0" borderId="128" xfId="0" applyFont="1" applyFill="1" applyBorder="1" applyAlignment="1"/>
    <xf numFmtId="2" fontId="4" fillId="0" borderId="118" xfId="0" applyNumberFormat="1" applyFont="1" applyFill="1" applyBorder="1" applyAlignment="1" applyProtection="1">
      <alignment horizontal="center" vertical="center"/>
    </xf>
    <xf numFmtId="0" fontId="4" fillId="0" borderId="127" xfId="0" applyFont="1" applyFill="1" applyBorder="1" applyAlignment="1"/>
    <xf numFmtId="0" fontId="4" fillId="0" borderId="118" xfId="0" applyFont="1" applyFill="1" applyBorder="1" applyAlignment="1" applyProtection="1">
      <alignment horizontal="center" vertical="center"/>
    </xf>
    <xf numFmtId="194" fontId="4" fillId="0" borderId="51" xfId="0" applyNumberFormat="1" applyFont="1" applyFill="1" applyBorder="1" applyAlignment="1">
      <alignment horizontal="center"/>
    </xf>
    <xf numFmtId="194" fontId="4" fillId="0" borderId="300" xfId="0" applyNumberFormat="1" applyFont="1" applyFill="1" applyBorder="1" applyAlignment="1">
      <alignment horizontal="center"/>
    </xf>
    <xf numFmtId="194" fontId="4" fillId="0" borderId="0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 vertical="center"/>
    </xf>
    <xf numFmtId="193" fontId="4" fillId="0" borderId="300" xfId="0" applyNumberFormat="1" applyFont="1" applyFill="1" applyBorder="1" applyAlignment="1" applyProtection="1">
      <alignment horizontal="center" vertical="center"/>
    </xf>
    <xf numFmtId="193" fontId="4" fillId="0" borderId="0" xfId="0" applyNumberFormat="1" applyFont="1" applyFill="1" applyBorder="1" applyAlignment="1" applyProtection="1">
      <alignment horizontal="center" vertical="center"/>
    </xf>
    <xf numFmtId="0" fontId="4" fillId="0" borderId="169" xfId="0" applyFont="1" applyFill="1" applyBorder="1" applyAlignment="1">
      <alignment vertical="center"/>
    </xf>
    <xf numFmtId="0" fontId="4" fillId="0" borderId="140" xfId="0" applyFont="1" applyFill="1" applyBorder="1" applyAlignment="1">
      <alignment horizontal="center" vertical="center"/>
    </xf>
    <xf numFmtId="193" fontId="4" fillId="0" borderId="52" xfId="2" applyNumberFormat="1" applyFont="1" applyFill="1" applyBorder="1" applyAlignment="1" applyProtection="1">
      <alignment horizontal="center" vertical="center"/>
    </xf>
    <xf numFmtId="193" fontId="4" fillId="0" borderId="300" xfId="2" applyNumberFormat="1" applyFont="1" applyFill="1" applyBorder="1" applyAlignment="1" applyProtection="1">
      <alignment horizontal="center" vertical="center"/>
    </xf>
    <xf numFmtId="193" fontId="4" fillId="0" borderId="0" xfId="2" applyNumberFormat="1" applyFont="1" applyFill="1" applyBorder="1" applyAlignment="1" applyProtection="1">
      <alignment horizontal="center" vertical="center"/>
    </xf>
    <xf numFmtId="2" fontId="4" fillId="0" borderId="300" xfId="0" applyNumberFormat="1" applyFont="1" applyFill="1" applyBorder="1" applyAlignment="1" applyProtection="1">
      <alignment horizontal="center" vertical="center"/>
    </xf>
    <xf numFmtId="2" fontId="4" fillId="0" borderId="0" xfId="0" applyNumberFormat="1" applyFont="1" applyFill="1" applyBorder="1" applyAlignment="1" applyProtection="1">
      <alignment horizontal="center" vertical="center"/>
    </xf>
    <xf numFmtId="0" fontId="4" fillId="0" borderId="195" xfId="0" applyFont="1" applyFill="1" applyBorder="1" applyAlignment="1" applyProtection="1">
      <alignment horizontal="center" vertical="center"/>
    </xf>
    <xf numFmtId="0" fontId="4" fillId="0" borderId="300" xfId="0" applyFont="1" applyFill="1" applyBorder="1" applyAlignment="1" applyProtection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0" fontId="4" fillId="0" borderId="0" xfId="0" applyFont="1" applyBorder="1" applyAlignment="1"/>
    <xf numFmtId="0" fontId="4" fillId="0" borderId="0" xfId="0" applyFont="1" applyBorder="1" applyAlignment="1">
      <alignment shrinkToFit="1"/>
    </xf>
    <xf numFmtId="191" fontId="4" fillId="0" borderId="23" xfId="0" applyNumberFormat="1" applyFont="1" applyFill="1" applyBorder="1" applyAlignment="1">
      <alignment horizontal="center" shrinkToFit="1"/>
    </xf>
    <xf numFmtId="177" fontId="4" fillId="0" borderId="121" xfId="0" applyNumberFormat="1" applyFont="1" applyFill="1" applyBorder="1" applyAlignment="1">
      <alignment horizontal="center" shrinkToFit="1"/>
    </xf>
    <xf numFmtId="177" fontId="4" fillId="0" borderId="122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center" shrinkToFit="1"/>
    </xf>
    <xf numFmtId="0" fontId="9" fillId="0" borderId="204" xfId="0" applyFont="1" applyFill="1" applyBorder="1" applyAlignment="1">
      <alignment horizontal="center" shrinkToFit="1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38" fontId="9" fillId="32" borderId="23" xfId="0" applyNumberFormat="1" applyFont="1" applyFill="1" applyBorder="1" applyAlignment="1">
      <alignment horizontal="center" vertical="center" shrinkToFit="1"/>
    </xf>
    <xf numFmtId="38" fontId="9" fillId="32" borderId="31" xfId="0" applyNumberFormat="1" applyFont="1" applyFill="1" applyBorder="1" applyAlignment="1">
      <alignment horizontal="center" vertical="center" shrinkToFit="1"/>
    </xf>
    <xf numFmtId="38" fontId="9" fillId="32" borderId="95" xfId="0" applyNumberFormat="1" applyFont="1" applyFill="1" applyBorder="1" applyAlignment="1">
      <alignment horizontal="center" vertical="center" shrinkToFit="1"/>
    </xf>
    <xf numFmtId="38" fontId="9" fillId="32" borderId="99" xfId="0" applyNumberFormat="1" applyFont="1" applyFill="1" applyBorder="1" applyAlignment="1">
      <alignment horizontal="center" vertical="center" shrinkToFit="1"/>
    </xf>
    <xf numFmtId="38" fontId="9" fillId="32" borderId="82" xfId="0" applyNumberFormat="1" applyFont="1" applyFill="1" applyBorder="1" applyAlignment="1">
      <alignment horizontal="right" shrinkToFit="1"/>
    </xf>
    <xf numFmtId="38" fontId="9" fillId="32" borderId="200" xfId="0" applyNumberFormat="1" applyFont="1" applyFill="1" applyBorder="1" applyAlignment="1">
      <alignment horizontal="right" shrinkToFit="1"/>
    </xf>
    <xf numFmtId="38" fontId="9" fillId="32" borderId="23" xfId="0" applyNumberFormat="1" applyFont="1" applyFill="1" applyBorder="1" applyAlignment="1">
      <alignment horizontal="right" shrinkToFit="1"/>
    </xf>
    <xf numFmtId="38" fontId="9" fillId="32" borderId="31" xfId="0" applyNumberFormat="1" applyFont="1" applyFill="1" applyBorder="1" applyAlignment="1">
      <alignment horizontal="right" shrinkToFit="1"/>
    </xf>
    <xf numFmtId="177" fontId="9" fillId="0" borderId="231" xfId="0" applyNumberFormat="1" applyFont="1" applyFill="1" applyBorder="1" applyAlignment="1">
      <alignment horizontal="center" shrinkToFit="1"/>
    </xf>
    <xf numFmtId="0" fontId="9" fillId="0" borderId="121" xfId="0" applyFont="1" applyFill="1" applyBorder="1" applyAlignment="1">
      <alignment horizontal="right"/>
    </xf>
    <xf numFmtId="0" fontId="9" fillId="0" borderId="121" xfId="0" applyFont="1" applyFill="1" applyBorder="1" applyAlignment="1">
      <alignment horizontal="right" shrinkToFit="1"/>
    </xf>
    <xf numFmtId="0" fontId="9" fillId="0" borderId="204" xfId="0" applyFont="1" applyFill="1" applyBorder="1" applyAlignment="1">
      <alignment horizontal="right" shrinkToFit="1"/>
    </xf>
    <xf numFmtId="38" fontId="9" fillId="32" borderId="85" xfId="0" applyNumberFormat="1" applyFont="1" applyFill="1" applyBorder="1" applyAlignment="1">
      <alignment horizontal="right" shrinkToFit="1"/>
    </xf>
    <xf numFmtId="38" fontId="9" fillId="32" borderId="98" xfId="0" applyNumberFormat="1" applyFont="1" applyFill="1" applyBorder="1" applyAlignment="1">
      <alignment horizontal="right" shrinkToFit="1"/>
    </xf>
    <xf numFmtId="0" fontId="44" fillId="0" borderId="225" xfId="0" applyFont="1" applyFill="1" applyBorder="1" applyAlignment="1">
      <alignment horizontal="center"/>
    </xf>
    <xf numFmtId="0" fontId="4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/>
    </xf>
    <xf numFmtId="0" fontId="9" fillId="0" borderId="225" xfId="0" applyFont="1" applyFill="1" applyBorder="1" applyAlignment="1">
      <alignment horizontal="center" shrinkToFit="1"/>
    </xf>
    <xf numFmtId="0" fontId="9" fillId="0" borderId="225" xfId="0" applyFont="1" applyFill="1" applyBorder="1" applyAlignment="1">
      <alignment horizontal="right" shrinkToFit="1"/>
    </xf>
    <xf numFmtId="0" fontId="9" fillId="0" borderId="248" xfId="0" applyFont="1" applyFill="1" applyBorder="1" applyAlignment="1">
      <alignment horizontal="center" shrinkToFit="1"/>
    </xf>
    <xf numFmtId="0" fontId="9" fillId="0" borderId="234" xfId="0" applyFont="1" applyFill="1" applyBorder="1" applyAlignment="1">
      <alignment horizontal="right" shrinkToFit="1"/>
    </xf>
    <xf numFmtId="38" fontId="9" fillId="0" borderId="95" xfId="0" applyNumberFormat="1" applyFont="1" applyFill="1" applyBorder="1" applyAlignment="1">
      <alignment horizontal="right" shrinkToFit="1"/>
    </xf>
    <xf numFmtId="38" fontId="9" fillId="0" borderId="99" xfId="0" applyNumberFormat="1" applyFont="1" applyFill="1" applyBorder="1" applyAlignment="1">
      <alignment horizontal="right" shrinkToFit="1"/>
    </xf>
    <xf numFmtId="38" fontId="4" fillId="0" borderId="0" xfId="3" applyFont="1" applyBorder="1" applyAlignment="1"/>
    <xf numFmtId="0" fontId="4" fillId="0" borderId="0" xfId="0" applyFont="1" applyBorder="1" applyAlignment="1">
      <alignment horizontal="center" vertical="center" shrinkToFit="1"/>
    </xf>
    <xf numFmtId="0" fontId="4" fillId="0" borderId="125" xfId="0" applyFont="1" applyBorder="1" applyAlignment="1"/>
    <xf numFmtId="0" fontId="4" fillId="0" borderId="298" xfId="0" applyFont="1" applyBorder="1" applyAlignment="1"/>
    <xf numFmtId="0" fontId="56" fillId="0" borderId="51" xfId="0" applyFont="1" applyBorder="1" applyAlignment="1"/>
    <xf numFmtId="0" fontId="4" fillId="0" borderId="124" xfId="0" applyFont="1" applyBorder="1" applyAlignment="1"/>
    <xf numFmtId="0" fontId="4" fillId="0" borderId="111" xfId="0" applyFont="1" applyBorder="1" applyAlignment="1">
      <alignment horizontal="center" vertical="center" shrinkToFit="1"/>
    </xf>
    <xf numFmtId="193" fontId="4" fillId="17" borderId="60" xfId="0" applyNumberFormat="1" applyFont="1" applyFill="1" applyBorder="1" applyAlignment="1" applyProtection="1">
      <alignment horizontal="center" vertical="center"/>
    </xf>
    <xf numFmtId="193" fontId="4" fillId="0" borderId="60" xfId="2" applyNumberFormat="1" applyFont="1" applyFill="1" applyBorder="1" applyAlignment="1" applyProtection="1">
      <alignment horizontal="center" vertical="center"/>
    </xf>
    <xf numFmtId="2" fontId="4" fillId="0" borderId="60" xfId="0" applyNumberFormat="1" applyFont="1" applyFill="1" applyBorder="1" applyAlignment="1" applyProtection="1">
      <alignment horizontal="center" vertical="center"/>
    </xf>
    <xf numFmtId="0" fontId="4" fillId="0" borderId="60" xfId="0" applyFont="1" applyFill="1" applyBorder="1" applyAlignment="1" applyProtection="1">
      <alignment horizontal="center" vertical="center"/>
    </xf>
    <xf numFmtId="2" fontId="4" fillId="0" borderId="58" xfId="0" applyNumberFormat="1" applyFont="1" applyFill="1" applyBorder="1" applyAlignment="1" applyProtection="1">
      <alignment horizontal="center" vertical="center"/>
    </xf>
    <xf numFmtId="0" fontId="4" fillId="0" borderId="58" xfId="0" applyFont="1" applyFill="1" applyBorder="1" applyAlignment="1" applyProtection="1">
      <alignment horizontal="center" vertical="center"/>
    </xf>
    <xf numFmtId="0" fontId="33" fillId="0" borderId="0" xfId="0" applyFont="1" applyFill="1" applyBorder="1" applyAlignment="1">
      <alignment horizontal="right" vertical="center"/>
    </xf>
    <xf numFmtId="0" fontId="69" fillId="0" borderId="0" xfId="0" applyFont="1" applyFill="1" applyBorder="1" applyAlignment="1">
      <alignment horizontal="left" vertical="center"/>
    </xf>
    <xf numFmtId="0" fontId="0" fillId="0" borderId="0" xfId="0" applyAlignment="1">
      <alignment vertical="center" shrinkToFit="1"/>
    </xf>
    <xf numFmtId="0" fontId="52" fillId="28" borderId="231" xfId="0" applyFont="1" applyFill="1" applyBorder="1" applyAlignment="1">
      <alignment horizontal="center" vertical="center" shrinkToFit="1"/>
    </xf>
    <xf numFmtId="0" fontId="52" fillId="28" borderId="248" xfId="0" applyFont="1" applyFill="1" applyBorder="1" applyAlignment="1">
      <alignment horizontal="center" vertical="center" shrinkToFit="1"/>
    </xf>
    <xf numFmtId="0" fontId="9" fillId="29" borderId="0" xfId="0" applyFont="1" applyFill="1" applyBorder="1" applyAlignment="1">
      <alignment horizontal="right" vertical="center"/>
    </xf>
    <xf numFmtId="0" fontId="11" fillId="29" borderId="0" xfId="0" applyFont="1" applyFill="1" applyBorder="1" applyAlignment="1">
      <alignment horizontal="distributed" vertical="center"/>
    </xf>
    <xf numFmtId="0" fontId="11" fillId="29" borderId="0" xfId="0" applyFont="1" applyFill="1" applyBorder="1" applyAlignment="1">
      <alignment horizontal="left" vertical="center"/>
    </xf>
    <xf numFmtId="0" fontId="53" fillId="29" borderId="0" xfId="0" applyFont="1" applyFill="1" applyBorder="1" applyAlignment="1">
      <alignment horizontal="center" vertical="center"/>
    </xf>
    <xf numFmtId="0" fontId="9" fillId="29" borderId="0" xfId="0" applyFont="1" applyFill="1" applyBorder="1" applyAlignment="1">
      <alignment horizontal="center" vertical="center"/>
    </xf>
    <xf numFmtId="0" fontId="9" fillId="29" borderId="0" xfId="0" applyFont="1" applyFill="1" applyBorder="1" applyAlignment="1">
      <alignment horizontal="left" vertical="center" shrinkToFit="1"/>
    </xf>
    <xf numFmtId="0" fontId="9" fillId="29" borderId="0" xfId="0" applyFont="1" applyFill="1" applyBorder="1" applyAlignment="1">
      <alignment vertical="center"/>
    </xf>
    <xf numFmtId="0" fontId="9" fillId="29" borderId="0" xfId="0" applyFont="1" applyFill="1" applyBorder="1" applyAlignment="1">
      <alignment horizontal="right" vertical="center" shrinkToFit="1"/>
    </xf>
    <xf numFmtId="191" fontId="4" fillId="28" borderId="82" xfId="0" applyNumberFormat="1" applyFont="1" applyFill="1" applyBorder="1" applyAlignment="1">
      <alignment horizontal="center" shrinkToFit="1"/>
    </xf>
    <xf numFmtId="191" fontId="4" fillId="28" borderId="152" xfId="0" applyNumberFormat="1" applyFont="1" applyFill="1" applyBorder="1" applyAlignment="1">
      <alignment horizontal="center" shrinkToFit="1"/>
    </xf>
    <xf numFmtId="0" fontId="9" fillId="29" borderId="224" xfId="0" applyFont="1" applyFill="1" applyBorder="1" applyAlignment="1">
      <alignment horizontal="right"/>
    </xf>
    <xf numFmtId="0" fontId="4" fillId="29" borderId="178" xfId="0" applyFont="1" applyFill="1" applyBorder="1" applyAlignment="1"/>
    <xf numFmtId="0" fontId="9" fillId="29" borderId="178" xfId="0" applyFont="1" applyFill="1" applyBorder="1" applyAlignment="1">
      <alignment horizontal="right"/>
    </xf>
    <xf numFmtId="0" fontId="9" fillId="0" borderId="83" xfId="0" applyFont="1" applyFill="1" applyBorder="1" applyAlignment="1">
      <alignment horizontal="center"/>
    </xf>
    <xf numFmtId="38" fontId="9" fillId="29" borderId="82" xfId="0" applyNumberFormat="1" applyFont="1" applyFill="1" applyBorder="1" applyAlignment="1">
      <alignment horizontal="right"/>
    </xf>
    <xf numFmtId="179" fontId="9" fillId="28" borderId="82" xfId="0" applyNumberFormat="1" applyFont="1" applyFill="1" applyBorder="1" applyAlignment="1">
      <alignment shrinkToFit="1"/>
    </xf>
    <xf numFmtId="179" fontId="9" fillId="28" borderId="200" xfId="0" applyNumberFormat="1" applyFont="1" applyFill="1" applyBorder="1" applyAlignment="1">
      <alignment shrinkToFit="1"/>
    </xf>
    <xf numFmtId="0" fontId="9" fillId="29" borderId="226" xfId="0" applyFont="1" applyFill="1" applyBorder="1" applyAlignment="1">
      <alignment horizontal="right"/>
    </xf>
    <xf numFmtId="0" fontId="4" fillId="29" borderId="142" xfId="0" applyFont="1" applyFill="1" applyBorder="1" applyAlignment="1"/>
    <xf numFmtId="0" fontId="9" fillId="29" borderId="142" xfId="0" applyFont="1" applyFill="1" applyBorder="1" applyAlignment="1">
      <alignment horizontal="right"/>
    </xf>
    <xf numFmtId="0" fontId="9" fillId="0" borderId="52" xfId="0" applyFont="1" applyFill="1" applyBorder="1" applyAlignment="1">
      <alignment horizontal="center"/>
    </xf>
    <xf numFmtId="38" fontId="9" fillId="29" borderId="23" xfId="0" applyNumberFormat="1" applyFont="1" applyFill="1" applyBorder="1" applyAlignment="1">
      <alignment horizontal="right"/>
    </xf>
    <xf numFmtId="179" fontId="9" fillId="28" borderId="23" xfId="0" applyNumberFormat="1" applyFont="1" applyFill="1" applyBorder="1" applyAlignment="1">
      <alignment shrinkToFit="1"/>
    </xf>
    <xf numFmtId="179" fontId="9" fillId="28" borderId="52" xfId="0" applyNumberFormat="1" applyFont="1" applyFill="1" applyBorder="1" applyAlignment="1">
      <alignment shrinkToFit="1"/>
    </xf>
    <xf numFmtId="0" fontId="4" fillId="29" borderId="176" xfId="0" applyFont="1" applyFill="1" applyBorder="1" applyAlignment="1"/>
    <xf numFmtId="0" fontId="9" fillId="29" borderId="176" xfId="0" applyFont="1" applyFill="1" applyBorder="1" applyAlignment="1">
      <alignment horizontal="right"/>
    </xf>
    <xf numFmtId="0" fontId="9" fillId="0" borderId="86" xfId="0" applyFont="1" applyFill="1" applyBorder="1" applyAlignment="1">
      <alignment horizontal="center"/>
    </xf>
    <xf numFmtId="38" fontId="9" fillId="29" borderId="85" xfId="0" applyNumberFormat="1" applyFont="1" applyFill="1" applyBorder="1" applyAlignment="1">
      <alignment horizontal="right"/>
    </xf>
    <xf numFmtId="179" fontId="9" fillId="28" borderId="85" xfId="0" applyNumberFormat="1" applyFont="1" applyFill="1" applyBorder="1" applyAlignment="1">
      <alignment shrinkToFit="1"/>
    </xf>
    <xf numFmtId="179" fontId="9" fillId="28" borderId="86" xfId="0" applyNumberFormat="1" applyFont="1" applyFill="1" applyBorder="1" applyAlignment="1">
      <alignment shrinkToFit="1"/>
    </xf>
    <xf numFmtId="0" fontId="9" fillId="29" borderId="174" xfId="0" applyFont="1" applyFill="1" applyBorder="1" applyAlignment="1">
      <alignment horizontal="right"/>
    </xf>
    <xf numFmtId="0" fontId="17" fillId="29" borderId="141" xfId="0" applyFont="1" applyFill="1" applyBorder="1" applyAlignment="1"/>
    <xf numFmtId="0" fontId="9" fillId="29" borderId="141" xfId="0" applyFont="1" applyFill="1" applyBorder="1" applyAlignment="1">
      <alignment horizontal="right"/>
    </xf>
    <xf numFmtId="0" fontId="9" fillId="0" borderId="96" xfId="0" applyFont="1" applyFill="1" applyBorder="1" applyAlignment="1">
      <alignment horizontal="center"/>
    </xf>
    <xf numFmtId="38" fontId="9" fillId="29" borderId="95" xfId="0" applyNumberFormat="1" applyFont="1" applyFill="1" applyBorder="1" applyAlignment="1">
      <alignment horizontal="right"/>
    </xf>
    <xf numFmtId="179" fontId="9" fillId="0" borderId="95" xfId="0" applyNumberFormat="1" applyFont="1" applyFill="1" applyBorder="1" applyAlignment="1">
      <alignment shrinkToFit="1"/>
    </xf>
    <xf numFmtId="0" fontId="17" fillId="29" borderId="176" xfId="0" applyFont="1" applyFill="1" applyBorder="1" applyAlignment="1"/>
    <xf numFmtId="195" fontId="9" fillId="29" borderId="85" xfId="0" applyNumberFormat="1" applyFont="1" applyFill="1" applyBorder="1" applyAlignment="1">
      <alignment horizontal="right"/>
    </xf>
    <xf numFmtId="179" fontId="9" fillId="0" borderId="85" xfId="0" applyNumberFormat="1" applyFont="1" applyFill="1" applyBorder="1" applyAlignment="1">
      <alignment shrinkToFit="1"/>
    </xf>
    <xf numFmtId="0" fontId="53" fillId="29" borderId="224" xfId="0" applyFont="1" applyFill="1" applyBorder="1" applyAlignment="1">
      <alignment horizontal="left" vertical="center"/>
    </xf>
    <xf numFmtId="0" fontId="24" fillId="29" borderId="225" xfId="0" applyFont="1" applyFill="1" applyBorder="1" applyAlignment="1">
      <alignment horizontal="right" vertical="center"/>
    </xf>
    <xf numFmtId="0" fontId="17" fillId="29" borderId="229" xfId="0" applyFont="1" applyFill="1" applyBorder="1" applyAlignment="1">
      <alignment horizontal="right" vertical="center"/>
    </xf>
    <xf numFmtId="0" fontId="17" fillId="0" borderId="151" xfId="0" applyFont="1" applyBorder="1" applyAlignment="1">
      <alignment vertical="center"/>
    </xf>
    <xf numFmtId="0" fontId="17" fillId="0" borderId="152" xfId="0" applyFont="1" applyBorder="1" applyAlignment="1">
      <alignment vertical="center"/>
    </xf>
    <xf numFmtId="0" fontId="24" fillId="29" borderId="149" xfId="0" applyFont="1" applyFill="1" applyBorder="1" applyAlignment="1">
      <alignment horizontal="center" vertical="center"/>
    </xf>
    <xf numFmtId="0" fontId="24" fillId="21" borderId="82" xfId="0" applyFont="1" applyFill="1" applyBorder="1" applyAlignment="1">
      <alignment horizontal="left" vertical="center" shrinkToFit="1"/>
    </xf>
    <xf numFmtId="0" fontId="24" fillId="29" borderId="82" xfId="0" applyFont="1" applyFill="1" applyBorder="1" applyAlignment="1">
      <alignment horizontal="right" vertical="center"/>
    </xf>
    <xf numFmtId="177" fontId="24" fillId="29" borderId="82" xfId="0" applyNumberFormat="1" applyFont="1" applyFill="1" applyBorder="1" applyAlignment="1">
      <alignment horizontal="right" vertical="center"/>
    </xf>
    <xf numFmtId="177" fontId="24" fillId="28" borderId="82" xfId="0" applyNumberFormat="1" applyFont="1" applyFill="1" applyBorder="1" applyAlignment="1">
      <alignment horizontal="right" vertical="center" shrinkToFit="1"/>
    </xf>
    <xf numFmtId="177" fontId="24" fillId="28" borderId="200" xfId="0" applyNumberFormat="1" applyFont="1" applyFill="1" applyBorder="1" applyAlignment="1">
      <alignment horizontal="right" vertical="center" shrinkToFit="1"/>
    </xf>
    <xf numFmtId="0" fontId="24" fillId="21" borderId="23" xfId="0" applyFont="1" applyFill="1" applyBorder="1" applyAlignment="1">
      <alignment horizontal="left" vertical="center" shrinkToFit="1"/>
    </xf>
    <xf numFmtId="0" fontId="24" fillId="29" borderId="23" xfId="0" applyFont="1" applyFill="1" applyBorder="1" applyAlignment="1">
      <alignment horizontal="right" vertical="center"/>
    </xf>
    <xf numFmtId="177" fontId="24" fillId="29" borderId="23" xfId="0" applyNumberFormat="1" applyFont="1" applyFill="1" applyBorder="1" applyAlignment="1">
      <alignment horizontal="right" vertical="center"/>
    </xf>
    <xf numFmtId="9" fontId="24" fillId="29" borderId="23" xfId="0" applyNumberFormat="1" applyFont="1" applyFill="1" applyBorder="1" applyAlignment="1">
      <alignment horizontal="right" vertical="center"/>
    </xf>
    <xf numFmtId="177" fontId="24" fillId="28" borderId="23" xfId="0" applyNumberFormat="1" applyFont="1" applyFill="1" applyBorder="1" applyAlignment="1">
      <alignment horizontal="right" vertical="center" shrinkToFit="1"/>
    </xf>
    <xf numFmtId="177" fontId="24" fillId="28" borderId="31" xfId="0" applyNumberFormat="1" applyFont="1" applyFill="1" applyBorder="1" applyAlignment="1">
      <alignment horizontal="right" vertical="center" shrinkToFit="1"/>
    </xf>
    <xf numFmtId="0" fontId="9" fillId="21" borderId="23" xfId="0" applyFont="1" applyFill="1" applyBorder="1" applyAlignment="1">
      <alignment horizontal="left" shrinkToFit="1"/>
    </xf>
    <xf numFmtId="0" fontId="24" fillId="29" borderId="120" xfId="0" applyFont="1" applyFill="1" applyBorder="1" applyAlignment="1">
      <alignment horizontal="left" vertical="center" shrinkToFit="1"/>
    </xf>
    <xf numFmtId="0" fontId="24" fillId="29" borderId="120" xfId="0" applyFont="1" applyFill="1" applyBorder="1" applyAlignment="1">
      <alignment horizontal="right" vertical="center"/>
    </xf>
    <xf numFmtId="177" fontId="24" fillId="29" borderId="120" xfId="0" applyNumberFormat="1" applyFont="1" applyFill="1" applyBorder="1" applyAlignment="1">
      <alignment horizontal="right" vertical="center"/>
    </xf>
    <xf numFmtId="177" fontId="24" fillId="28" borderId="120" xfId="0" applyNumberFormat="1" applyFont="1" applyFill="1" applyBorder="1" applyAlignment="1">
      <alignment horizontal="right" vertical="center" shrinkToFit="1"/>
    </xf>
    <xf numFmtId="177" fontId="24" fillId="28" borderId="122" xfId="0" applyNumberFormat="1" applyFont="1" applyFill="1" applyBorder="1" applyAlignment="1">
      <alignment horizontal="right" vertical="center" shrinkToFit="1"/>
    </xf>
    <xf numFmtId="38" fontId="9" fillId="31" borderId="23" xfId="0" applyNumberFormat="1" applyFont="1" applyFill="1" applyBorder="1" applyAlignment="1">
      <alignment horizontal="right" shrinkToFit="1"/>
    </xf>
    <xf numFmtId="38" fontId="9" fillId="31" borderId="31" xfId="0" applyNumberFormat="1" applyFont="1" applyFill="1" applyBorder="1" applyAlignment="1">
      <alignment horizontal="right" shrinkToFit="1"/>
    </xf>
    <xf numFmtId="0" fontId="24" fillId="21" borderId="120" xfId="0" applyFont="1" applyFill="1" applyBorder="1" applyAlignment="1">
      <alignment horizontal="left" vertical="center" shrinkToFit="1"/>
    </xf>
    <xf numFmtId="0" fontId="24" fillId="29" borderId="301" xfId="0" applyFont="1" applyFill="1" applyBorder="1" applyAlignment="1">
      <alignment horizontal="center" vertical="center"/>
    </xf>
    <xf numFmtId="0" fontId="9" fillId="29" borderId="302" xfId="0" applyFont="1" applyFill="1" applyBorder="1" applyAlignment="1">
      <alignment horizontal="center" vertical="center" textRotation="255"/>
    </xf>
    <xf numFmtId="0" fontId="17" fillId="21" borderId="303" xfId="0" applyFont="1" applyFill="1" applyBorder="1" applyAlignment="1">
      <alignment horizontal="left" vertical="center" shrinkToFit="1"/>
    </xf>
    <xf numFmtId="0" fontId="24" fillId="21" borderId="304" xfId="0" applyFont="1" applyFill="1" applyBorder="1" applyAlignment="1">
      <alignment horizontal="left" vertical="center" shrinkToFit="1"/>
    </xf>
    <xf numFmtId="0" fontId="24" fillId="29" borderId="304" xfId="0" applyFont="1" applyFill="1" applyBorder="1" applyAlignment="1">
      <alignment horizontal="right" vertical="center"/>
    </xf>
    <xf numFmtId="177" fontId="24" fillId="29" borderId="304" xfId="0" applyNumberFormat="1" applyFont="1" applyFill="1" applyBorder="1" applyAlignment="1">
      <alignment horizontal="right" vertical="center"/>
    </xf>
    <xf numFmtId="177" fontId="24" fillId="0" borderId="304" xfId="0" applyNumberFormat="1" applyFont="1" applyFill="1" applyBorder="1" applyAlignment="1">
      <alignment horizontal="right" vertical="center" shrinkToFit="1"/>
    </xf>
    <xf numFmtId="177" fontId="24" fillId="0" borderId="305" xfId="0" applyNumberFormat="1" applyFont="1" applyFill="1" applyBorder="1" applyAlignment="1">
      <alignment horizontal="right" vertical="center" shrinkToFit="1"/>
    </xf>
    <xf numFmtId="0" fontId="24" fillId="29" borderId="306" xfId="0" applyFont="1" applyFill="1" applyBorder="1" applyAlignment="1">
      <alignment horizontal="center" vertical="center"/>
    </xf>
    <xf numFmtId="0" fontId="9" fillId="29" borderId="280" xfId="0" applyFont="1" applyFill="1" applyBorder="1" applyAlignment="1">
      <alignment horizontal="center" vertical="center" textRotation="255"/>
    </xf>
    <xf numFmtId="0" fontId="24" fillId="21" borderId="270" xfId="0" applyFont="1" applyFill="1" applyBorder="1" applyAlignment="1">
      <alignment horizontal="left" vertical="center" shrinkToFit="1"/>
    </xf>
    <xf numFmtId="0" fontId="24" fillId="21" borderId="271" xfId="0" applyFont="1" applyFill="1" applyBorder="1" applyAlignment="1">
      <alignment horizontal="left" vertical="center" shrinkToFit="1"/>
    </xf>
    <xf numFmtId="0" fontId="24" fillId="29" borderId="271" xfId="0" applyFont="1" applyFill="1" applyBorder="1" applyAlignment="1">
      <alignment horizontal="right" vertical="center"/>
    </xf>
    <xf numFmtId="177" fontId="24" fillId="29" borderId="271" xfId="0" applyNumberFormat="1" applyFont="1" applyFill="1" applyBorder="1" applyAlignment="1">
      <alignment horizontal="right" vertical="center"/>
    </xf>
    <xf numFmtId="177" fontId="24" fillId="0" borderId="307" xfId="0" applyNumberFormat="1" applyFont="1" applyFill="1" applyBorder="1" applyAlignment="1">
      <alignment horizontal="right" vertical="center" shrinkToFit="1"/>
    </xf>
    <xf numFmtId="38" fontId="24" fillId="0" borderId="100" xfId="0" applyNumberFormat="1" applyFont="1" applyFill="1" applyBorder="1" applyAlignment="1">
      <alignment horizontal="right" vertical="center" shrinkToFit="1"/>
    </xf>
    <xf numFmtId="0" fontId="24" fillId="29" borderId="231" xfId="0" quotePrefix="1" applyFont="1" applyFill="1" applyBorder="1" applyAlignment="1">
      <alignment horizontal="center" vertical="center"/>
    </xf>
    <xf numFmtId="0" fontId="24" fillId="29" borderId="233" xfId="0" applyFont="1" applyFill="1" applyBorder="1" applyAlignment="1">
      <alignment horizontal="left" vertical="center" shrinkToFit="1"/>
    </xf>
    <xf numFmtId="177" fontId="24" fillId="21" borderId="23" xfId="0" applyNumberFormat="1" applyFont="1" applyFill="1" applyBorder="1" applyAlignment="1">
      <alignment horizontal="right" vertical="center"/>
    </xf>
    <xf numFmtId="0" fontId="24" fillId="29" borderId="23" xfId="0" quotePrefix="1" applyFont="1" applyFill="1" applyBorder="1" applyAlignment="1">
      <alignment horizontal="center" vertical="center"/>
    </xf>
    <xf numFmtId="0" fontId="24" fillId="29" borderId="140" xfId="0" applyFont="1" applyFill="1" applyBorder="1" applyAlignment="1">
      <alignment horizontal="left" vertical="center" shrinkToFit="1"/>
    </xf>
    <xf numFmtId="0" fontId="0" fillId="0" borderId="121" xfId="0" applyBorder="1" applyAlignment="1">
      <alignment horizontal="center" vertical="center" shrinkToFit="1"/>
    </xf>
    <xf numFmtId="0" fontId="17" fillId="29" borderId="140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left" vertical="center"/>
    </xf>
    <xf numFmtId="0" fontId="24" fillId="0" borderId="23" xfId="0" applyFont="1" applyFill="1" applyBorder="1" applyAlignment="1">
      <alignment horizontal="right" vertical="center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177" fontId="24" fillId="17" borderId="23" xfId="0" applyNumberFormat="1" applyFont="1" applyFill="1" applyBorder="1" applyAlignment="1">
      <alignment horizontal="right" vertical="center" shrinkToFit="1"/>
    </xf>
    <xf numFmtId="0" fontId="24" fillId="0" borderId="85" xfId="0" applyFont="1" applyFill="1" applyBorder="1" applyAlignment="1">
      <alignment horizontal="left" vertical="center"/>
    </xf>
    <xf numFmtId="0" fontId="24" fillId="0" borderId="85" xfId="0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/>
    </xf>
    <xf numFmtId="177" fontId="24" fillId="0" borderId="85" xfId="0" applyNumberFormat="1" applyFont="1" applyFill="1" applyBorder="1" applyAlignment="1">
      <alignment horizontal="right" vertical="center" shrinkToFit="1"/>
    </xf>
    <xf numFmtId="177" fontId="24" fillId="0" borderId="98" xfId="0" applyNumberFormat="1" applyFont="1" applyFill="1" applyBorder="1" applyAlignment="1">
      <alignment horizontal="right" vertical="center" shrinkToFit="1"/>
    </xf>
    <xf numFmtId="0" fontId="17" fillId="0" borderId="308" xfId="0" applyFont="1" applyBorder="1" applyAlignment="1">
      <alignment vertical="center"/>
    </xf>
    <xf numFmtId="0" fontId="17" fillId="0" borderId="229" xfId="0" applyFont="1" applyBorder="1" applyAlignment="1">
      <alignment vertical="center"/>
    </xf>
    <xf numFmtId="0" fontId="17" fillId="0" borderId="151" xfId="0" applyFont="1" applyFill="1" applyBorder="1" applyAlignment="1">
      <alignment horizontal="right" vertical="center"/>
    </xf>
    <xf numFmtId="177" fontId="17" fillId="0" borderId="151" xfId="0" applyNumberFormat="1" applyFont="1" applyFill="1" applyBorder="1" applyAlignment="1">
      <alignment vertical="center" shrinkToFit="1"/>
    </xf>
    <xf numFmtId="177" fontId="17" fillId="0" borderId="152" xfId="0" applyNumberFormat="1" applyFont="1" applyFill="1" applyBorder="1" applyAlignment="1">
      <alignment vertical="center" shrinkToFit="1"/>
    </xf>
    <xf numFmtId="0" fontId="24" fillId="0" borderId="231" xfId="0" applyNumberFormat="1" applyFont="1" applyFill="1" applyBorder="1" applyAlignment="1">
      <alignment horizontal="right" vertical="center" shrinkToFit="1"/>
    </xf>
    <xf numFmtId="10" fontId="24" fillId="0" borderId="231" xfId="0" quotePrefix="1" applyNumberFormat="1" applyFont="1" applyFill="1" applyBorder="1" applyAlignment="1">
      <alignment horizontal="right" vertical="center" shrinkToFit="1"/>
    </xf>
    <xf numFmtId="177" fontId="17" fillId="0" borderId="232" xfId="0" applyNumberFormat="1" applyFont="1" applyBorder="1" applyAlignment="1">
      <alignment vertical="center" shrinkToFit="1"/>
    </xf>
    <xf numFmtId="0" fontId="24" fillId="0" borderId="83" xfId="0" applyFont="1" applyFill="1" applyBorder="1" applyAlignment="1">
      <alignment vertical="center" shrinkToFit="1"/>
    </xf>
    <xf numFmtId="0" fontId="24" fillId="0" borderId="233" xfId="0" applyFont="1" applyFill="1" applyBorder="1" applyAlignment="1">
      <alignment vertical="center" shrinkToFit="1"/>
    </xf>
    <xf numFmtId="0" fontId="24" fillId="0" borderId="82" xfId="0" applyNumberFormat="1" applyFont="1" applyFill="1" applyBorder="1" applyAlignment="1">
      <alignment horizontal="right" vertical="center" shrinkToFit="1"/>
    </xf>
    <xf numFmtId="10" fontId="24" fillId="0" borderId="82" xfId="0" quotePrefix="1" applyNumberFormat="1" applyFont="1" applyFill="1" applyBorder="1" applyAlignment="1">
      <alignment horizontal="right" vertical="center" shrinkToFit="1"/>
    </xf>
    <xf numFmtId="0" fontId="24" fillId="0" borderId="52" xfId="0" applyFont="1" applyFill="1" applyBorder="1" applyAlignment="1">
      <alignment vertical="center" shrinkToFit="1"/>
    </xf>
    <xf numFmtId="0" fontId="24" fillId="0" borderId="140" xfId="0" applyFont="1" applyFill="1" applyBorder="1" applyAlignment="1">
      <alignment vertical="center" shrinkToFit="1"/>
    </xf>
    <xf numFmtId="177" fontId="17" fillId="0" borderId="23" xfId="0" applyNumberFormat="1" applyFont="1" applyBorder="1" applyAlignment="1">
      <alignment vertical="center"/>
    </xf>
    <xf numFmtId="177" fontId="17" fillId="0" borderId="23" xfId="0" applyNumberFormat="1" applyFont="1" applyBorder="1" applyAlignment="1">
      <alignment vertical="center" shrinkToFit="1"/>
    </xf>
    <xf numFmtId="177" fontId="17" fillId="0" borderId="31" xfId="0" applyNumberFormat="1" applyFont="1" applyBorder="1" applyAlignment="1">
      <alignment vertical="center" shrinkToFit="1"/>
    </xf>
    <xf numFmtId="0" fontId="24" fillId="0" borderId="85" xfId="0" applyNumberFormat="1" applyFont="1" applyFill="1" applyBorder="1" applyAlignment="1">
      <alignment horizontal="right" vertical="center" shrinkToFit="1"/>
    </xf>
    <xf numFmtId="10" fontId="24" fillId="0" borderId="85" xfId="0" quotePrefix="1" applyNumberFormat="1" applyFont="1" applyFill="1" applyBorder="1" applyAlignment="1">
      <alignment horizontal="right" vertical="center" shrinkToFit="1"/>
    </xf>
    <xf numFmtId="177" fontId="17" fillId="0" borderId="238" xfId="0" applyNumberFormat="1" applyFont="1" applyFill="1" applyBorder="1" applyAlignment="1">
      <alignment vertical="center" shrinkToFit="1"/>
    </xf>
    <xf numFmtId="177" fontId="17" fillId="0" borderId="239" xfId="0" applyNumberFormat="1" applyFont="1" applyBorder="1" applyAlignment="1">
      <alignment vertical="center" shrinkToFit="1"/>
    </xf>
    <xf numFmtId="177" fontId="17" fillId="0" borderId="297" xfId="0" applyNumberFormat="1" applyFont="1" applyBorder="1" applyAlignment="1">
      <alignment vertical="center" shrinkToFit="1"/>
    </xf>
    <xf numFmtId="0" fontId="33" fillId="0" borderId="0" xfId="0" applyFont="1" applyFill="1" applyBorder="1" applyAlignment="1">
      <alignment horizontal="right"/>
    </xf>
    <xf numFmtId="0" fontId="33" fillId="0" borderId="0" xfId="0" applyFont="1" applyFill="1" applyBorder="1" applyAlignment="1">
      <alignment horizontal="left"/>
    </xf>
    <xf numFmtId="0" fontId="53" fillId="0" borderId="0" xfId="0" applyFont="1" applyFill="1" applyBorder="1" applyAlignment="1">
      <alignment horizontal="left"/>
    </xf>
    <xf numFmtId="0" fontId="74" fillId="0" borderId="0" xfId="0" applyFont="1" applyFill="1" applyBorder="1" applyAlignment="1">
      <alignment horizontal="distributed"/>
    </xf>
    <xf numFmtId="38" fontId="9" fillId="11" borderId="12" xfId="0" applyNumberFormat="1" applyFont="1" applyFill="1" applyBorder="1" applyAlignment="1">
      <alignment horizontal="center" vertical="center" shrinkToFit="1"/>
    </xf>
    <xf numFmtId="0" fontId="4" fillId="29" borderId="224" xfId="0" applyFont="1" applyFill="1" applyBorder="1" applyAlignment="1">
      <alignment horizontal="right"/>
    </xf>
    <xf numFmtId="0" fontId="4" fillId="29" borderId="225" xfId="0" applyFont="1" applyFill="1" applyBorder="1" applyAlignment="1">
      <alignment horizontal="right"/>
    </xf>
    <xf numFmtId="191" fontId="4" fillId="11" borderId="82" xfId="0" applyNumberFormat="1" applyFont="1" applyFill="1" applyBorder="1" applyAlignment="1">
      <alignment horizontal="center" shrinkToFit="1"/>
    </xf>
    <xf numFmtId="191" fontId="4" fillId="11" borderId="200" xfId="0" applyNumberFormat="1" applyFont="1" applyFill="1" applyBorder="1" applyAlignment="1">
      <alignment horizontal="center" shrinkToFit="1"/>
    </xf>
    <xf numFmtId="0" fontId="9" fillId="29" borderId="225" xfId="0" applyFont="1" applyFill="1" applyBorder="1" applyAlignment="1">
      <alignment horizontal="right"/>
    </xf>
    <xf numFmtId="0" fontId="9" fillId="11" borderId="231" xfId="0" applyFont="1" applyFill="1" applyBorder="1" applyAlignment="1">
      <alignment horizontal="center"/>
    </xf>
    <xf numFmtId="0" fontId="9" fillId="29" borderId="231" xfId="0" applyFont="1" applyFill="1" applyBorder="1" applyAlignment="1">
      <alignment horizontal="center"/>
    </xf>
    <xf numFmtId="0" fontId="9" fillId="29" borderId="231" xfId="0" applyFont="1" applyFill="1" applyBorder="1" applyAlignment="1">
      <alignment horizontal="center" shrinkToFit="1"/>
    </xf>
    <xf numFmtId="0" fontId="9" fillId="29" borderId="232" xfId="0" applyFont="1" applyFill="1" applyBorder="1" applyAlignment="1">
      <alignment horizontal="center" shrinkToFit="1"/>
    </xf>
    <xf numFmtId="0" fontId="9" fillId="29" borderId="0" xfId="0" applyFont="1" applyFill="1" applyBorder="1" applyAlignment="1">
      <alignment horizontal="right"/>
    </xf>
    <xf numFmtId="0" fontId="9" fillId="11" borderId="121" xfId="0" applyFont="1" applyFill="1" applyBorder="1" applyAlignment="1">
      <alignment horizontal="center"/>
    </xf>
    <xf numFmtId="0" fontId="75" fillId="29" borderId="121" xfId="0" applyFont="1" applyFill="1" applyBorder="1" applyAlignment="1"/>
    <xf numFmtId="0" fontId="9" fillId="29" borderId="121" xfId="0" applyFont="1" applyFill="1" applyBorder="1" applyAlignment="1">
      <alignment horizontal="center" shrinkToFit="1"/>
    </xf>
    <xf numFmtId="0" fontId="9" fillId="29" borderId="262" xfId="0" applyFont="1" applyFill="1" applyBorder="1" applyAlignment="1">
      <alignment horizontal="center" shrinkToFit="1"/>
    </xf>
    <xf numFmtId="0" fontId="9" fillId="29" borderId="225" xfId="0" applyFont="1" applyFill="1" applyBorder="1" applyAlignment="1"/>
    <xf numFmtId="0" fontId="9" fillId="29" borderId="15" xfId="0" applyFont="1" applyFill="1" applyBorder="1" applyAlignment="1">
      <alignment horizontal="right"/>
    </xf>
    <xf numFmtId="0" fontId="9" fillId="0" borderId="309" xfId="0" applyFont="1" applyFill="1" applyBorder="1" applyAlignment="1">
      <alignment horizontal="center"/>
    </xf>
    <xf numFmtId="38" fontId="9" fillId="29" borderId="151" xfId="0" applyNumberFormat="1" applyFont="1" applyFill="1" applyBorder="1" applyAlignment="1">
      <alignment horizontal="right"/>
    </xf>
    <xf numFmtId="179" fontId="9" fillId="11" borderId="151" xfId="0" applyNumberFormat="1" applyFont="1" applyFill="1" applyBorder="1" applyAlignment="1">
      <alignment shrinkToFit="1"/>
    </xf>
    <xf numFmtId="179" fontId="9" fillId="11" borderId="152" xfId="0" applyNumberFormat="1" applyFont="1" applyFill="1" applyBorder="1" applyAlignment="1">
      <alignment shrinkToFit="1"/>
    </xf>
    <xf numFmtId="0" fontId="9" fillId="29" borderId="0" xfId="0" applyFont="1" applyFill="1" applyBorder="1" applyAlignment="1"/>
    <xf numFmtId="179" fontId="9" fillId="24" borderId="82" xfId="0" applyNumberFormat="1" applyFont="1" applyFill="1" applyBorder="1" applyAlignment="1">
      <alignment shrinkToFit="1"/>
    </xf>
    <xf numFmtId="179" fontId="9" fillId="24" borderId="200" xfId="0" applyNumberFormat="1" applyFont="1" applyFill="1" applyBorder="1" applyAlignment="1">
      <alignment shrinkToFit="1"/>
    </xf>
    <xf numFmtId="0" fontId="9" fillId="29" borderId="259" xfId="0" applyFont="1" applyFill="1" applyBorder="1" applyAlignment="1">
      <alignment horizontal="right"/>
    </xf>
    <xf numFmtId="0" fontId="9" fillId="0" borderId="93" xfId="0" applyFont="1" applyFill="1" applyBorder="1" applyAlignment="1">
      <alignment horizontal="center"/>
    </xf>
    <xf numFmtId="38" fontId="9" fillId="29" borderId="89" xfId="0" applyNumberFormat="1" applyFont="1" applyFill="1" applyBorder="1" applyAlignment="1">
      <alignment horizontal="right"/>
    </xf>
    <xf numFmtId="179" fontId="9" fillId="24" borderId="89" xfId="0" applyNumberFormat="1" applyFont="1" applyFill="1" applyBorder="1" applyAlignment="1">
      <alignment shrinkToFit="1"/>
    </xf>
    <xf numFmtId="179" fontId="9" fillId="24" borderId="100" xfId="0" applyNumberFormat="1" applyFont="1" applyFill="1" applyBorder="1" applyAlignment="1">
      <alignment shrinkToFit="1"/>
    </xf>
    <xf numFmtId="0" fontId="9" fillId="29" borderId="225" xfId="0" applyFont="1" applyFill="1" applyBorder="1" applyAlignment="1">
      <alignment horizontal="left"/>
    </xf>
    <xf numFmtId="0" fontId="9" fillId="29" borderId="15" xfId="0" applyFont="1" applyFill="1" applyBorder="1" applyAlignment="1">
      <alignment horizontal="left"/>
    </xf>
    <xf numFmtId="0" fontId="9" fillId="29" borderId="151" xfId="0" applyFont="1" applyFill="1" applyBorder="1" applyAlignment="1">
      <alignment horizontal="center"/>
    </xf>
    <xf numFmtId="0" fontId="4" fillId="29" borderId="178" xfId="0" applyFont="1" applyFill="1" applyBorder="1" applyAlignment="1">
      <alignment horizontal="left"/>
    </xf>
    <xf numFmtId="0" fontId="9" fillId="29" borderId="178" xfId="0" applyFont="1" applyFill="1" applyBorder="1" applyAlignment="1">
      <alignment horizontal="left" shrinkToFit="1"/>
    </xf>
    <xf numFmtId="0" fontId="9" fillId="29" borderId="82" xfId="0" applyFont="1" applyFill="1" applyBorder="1" applyAlignment="1">
      <alignment horizontal="center"/>
    </xf>
    <xf numFmtId="38" fontId="9" fillId="29" borderId="82" xfId="0" applyNumberFormat="1" applyFont="1" applyFill="1" applyBorder="1" applyAlignment="1">
      <alignment horizontal="right" shrinkToFit="1"/>
    </xf>
    <xf numFmtId="38" fontId="9" fillId="29" borderId="200" xfId="0" applyNumberFormat="1" applyFont="1" applyFill="1" applyBorder="1" applyAlignment="1">
      <alignment horizontal="right" shrinkToFit="1"/>
    </xf>
    <xf numFmtId="0" fontId="4" fillId="0" borderId="142" xfId="0" applyFont="1" applyBorder="1" applyAlignment="1"/>
    <xf numFmtId="0" fontId="9" fillId="29" borderId="23" xfId="0" applyFont="1" applyFill="1" applyBorder="1" applyAlignment="1">
      <alignment horizontal="right"/>
    </xf>
    <xf numFmtId="38" fontId="9" fillId="29" borderId="23" xfId="0" applyNumberFormat="1" applyFont="1" applyFill="1" applyBorder="1" applyAlignment="1">
      <alignment horizontal="right" shrinkToFit="1"/>
    </xf>
    <xf numFmtId="38" fontId="9" fillId="29" borderId="31" xfId="0" applyNumberFormat="1" applyFont="1" applyFill="1" applyBorder="1" applyAlignment="1">
      <alignment horizontal="right" shrinkToFit="1"/>
    </xf>
    <xf numFmtId="0" fontId="9" fillId="29" borderId="284" xfId="0" applyFont="1" applyFill="1" applyBorder="1" applyAlignment="1">
      <alignment horizontal="right"/>
    </xf>
    <xf numFmtId="0" fontId="9" fillId="29" borderId="176" xfId="0" applyFont="1" applyFill="1" applyBorder="1" applyAlignment="1">
      <alignment horizontal="left"/>
    </xf>
    <xf numFmtId="0" fontId="9" fillId="29" borderId="85" xfId="0" applyFont="1" applyFill="1" applyBorder="1" applyAlignment="1">
      <alignment horizontal="right"/>
    </xf>
    <xf numFmtId="0" fontId="9" fillId="29" borderId="0" xfId="0" applyFont="1" applyFill="1" applyBorder="1" applyAlignment="1">
      <alignment horizontal="left"/>
    </xf>
    <xf numFmtId="0" fontId="9" fillId="29" borderId="121" xfId="0" applyFont="1" applyFill="1" applyBorder="1" applyAlignment="1">
      <alignment horizontal="right"/>
    </xf>
    <xf numFmtId="38" fontId="9" fillId="29" borderId="121" xfId="0" applyNumberFormat="1" applyFont="1" applyFill="1" applyBorder="1" applyAlignment="1">
      <alignment horizontal="right"/>
    </xf>
    <xf numFmtId="38" fontId="9" fillId="29" borderId="121" xfId="0" applyNumberFormat="1" applyFont="1" applyFill="1" applyBorder="1" applyAlignment="1">
      <alignment horizontal="right" shrinkToFit="1"/>
    </xf>
    <xf numFmtId="38" fontId="9" fillId="29" borderId="204" xfId="0" applyNumberFormat="1" applyFont="1" applyFill="1" applyBorder="1" applyAlignment="1">
      <alignment horizontal="right" shrinkToFit="1"/>
    </xf>
    <xf numFmtId="0" fontId="9" fillId="29" borderId="178" xfId="0" applyFont="1" applyFill="1" applyBorder="1" applyAlignment="1">
      <alignment horizontal="left"/>
    </xf>
    <xf numFmtId="0" fontId="9" fillId="29" borderId="82" xfId="0" applyFont="1" applyFill="1" applyBorder="1" applyAlignment="1">
      <alignment horizontal="right"/>
    </xf>
    <xf numFmtId="0" fontId="9" fillId="21" borderId="226" xfId="0" applyFont="1" applyFill="1" applyBorder="1" applyAlignment="1">
      <alignment horizontal="right"/>
    </xf>
    <xf numFmtId="0" fontId="9" fillId="21" borderId="0" xfId="0" applyFont="1" applyFill="1" applyBorder="1" applyAlignment="1">
      <alignment horizontal="right"/>
    </xf>
    <xf numFmtId="0" fontId="9" fillId="21" borderId="142" xfId="0" applyFont="1" applyFill="1" applyBorder="1" applyAlignment="1">
      <alignment horizontal="left"/>
    </xf>
    <xf numFmtId="0" fontId="9" fillId="21" borderId="23" xfId="0" applyFont="1" applyFill="1" applyBorder="1" applyAlignment="1">
      <alignment horizontal="right"/>
    </xf>
    <xf numFmtId="38" fontId="9" fillId="21" borderId="23" xfId="0" applyNumberFormat="1" applyFont="1" applyFill="1" applyBorder="1" applyAlignment="1">
      <alignment horizontal="right"/>
    </xf>
    <xf numFmtId="38" fontId="9" fillId="21" borderId="23" xfId="0" applyNumberFormat="1" applyFont="1" applyFill="1" applyBorder="1" applyAlignment="1">
      <alignment horizontal="right" shrinkToFit="1"/>
    </xf>
    <xf numFmtId="38" fontId="9" fillId="21" borderId="31" xfId="0" applyNumberFormat="1" applyFont="1" applyFill="1" applyBorder="1" applyAlignment="1">
      <alignment horizontal="right" shrinkToFit="1"/>
    </xf>
    <xf numFmtId="0" fontId="4" fillId="21" borderId="0" xfId="0" applyFont="1" applyFill="1" applyBorder="1" applyAlignment="1"/>
    <xf numFmtId="0" fontId="9" fillId="21" borderId="142" xfId="0" applyFont="1" applyFill="1" applyBorder="1" applyAlignment="1">
      <alignment horizontal="right"/>
    </xf>
    <xf numFmtId="0" fontId="9" fillId="21" borderId="259" xfId="0" applyFont="1" applyFill="1" applyBorder="1" applyAlignment="1">
      <alignment horizontal="right"/>
    </xf>
    <xf numFmtId="0" fontId="9" fillId="21" borderId="139" xfId="0" applyFont="1" applyFill="1" applyBorder="1" applyAlignment="1">
      <alignment horizontal="right"/>
    </xf>
    <xf numFmtId="0" fontId="9" fillId="21" borderId="120" xfId="0" applyFont="1" applyFill="1" applyBorder="1" applyAlignment="1">
      <alignment horizontal="right"/>
    </xf>
    <xf numFmtId="38" fontId="9" fillId="21" borderId="120" xfId="0" applyNumberFormat="1" applyFont="1" applyFill="1" applyBorder="1" applyAlignment="1">
      <alignment horizontal="right"/>
    </xf>
    <xf numFmtId="38" fontId="9" fillId="21" borderId="120" xfId="0" applyNumberFormat="1" applyFont="1" applyFill="1" applyBorder="1" applyAlignment="1">
      <alignment horizontal="right" shrinkToFit="1"/>
    </xf>
    <xf numFmtId="38" fontId="9" fillId="21" borderId="122" xfId="0" applyNumberFormat="1" applyFont="1" applyFill="1" applyBorder="1" applyAlignment="1">
      <alignment horizontal="right" shrinkToFit="1"/>
    </xf>
    <xf numFmtId="0" fontId="9" fillId="29" borderId="14" xfId="0" applyFont="1" applyFill="1" applyBorder="1" applyAlignment="1">
      <alignment horizontal="right"/>
    </xf>
    <xf numFmtId="0" fontId="9" fillId="29" borderId="14" xfId="0" applyFont="1" applyFill="1" applyBorder="1" applyAlignment="1">
      <alignment horizontal="left"/>
    </xf>
    <xf numFmtId="0" fontId="9" fillId="29" borderId="151" xfId="0" applyFont="1" applyFill="1" applyBorder="1" applyAlignment="1">
      <alignment horizontal="right"/>
    </xf>
    <xf numFmtId="38" fontId="9" fillId="29" borderId="151" xfId="0" applyNumberFormat="1" applyFont="1" applyFill="1" applyBorder="1" applyAlignment="1">
      <alignment horizontal="right" shrinkToFit="1"/>
    </xf>
    <xf numFmtId="38" fontId="9" fillId="29" borderId="152" xfId="0" applyNumberFormat="1" applyFont="1" applyFill="1" applyBorder="1" applyAlignment="1">
      <alignment horizontal="right" shrinkToFit="1"/>
    </xf>
    <xf numFmtId="0" fontId="11" fillId="29" borderId="0" xfId="0" applyFont="1" applyFill="1" applyBorder="1" applyAlignment="1">
      <alignment horizontal="left"/>
    </xf>
    <xf numFmtId="0" fontId="53" fillId="29" borderId="0" xfId="0" applyFont="1" applyFill="1" applyBorder="1" applyAlignment="1">
      <alignment horizontal="center"/>
    </xf>
    <xf numFmtId="0" fontId="9" fillId="29" borderId="0" xfId="0" applyFont="1" applyFill="1" applyBorder="1" applyAlignment="1">
      <alignment horizontal="center"/>
    </xf>
    <xf numFmtId="0" fontId="9" fillId="29" borderId="0" xfId="0" applyFont="1" applyFill="1" applyBorder="1" applyAlignment="1">
      <alignment horizontal="left" shrinkToFit="1"/>
    </xf>
    <xf numFmtId="0" fontId="9" fillId="29" borderId="0" xfId="0" applyFont="1" applyFill="1" applyBorder="1" applyAlignment="1">
      <alignment horizontal="right" shrinkToFit="1"/>
    </xf>
    <xf numFmtId="0" fontId="11" fillId="29" borderId="284" xfId="0" applyFont="1" applyFill="1" applyBorder="1" applyAlignment="1">
      <alignment horizontal="left"/>
    </xf>
    <xf numFmtId="0" fontId="53" fillId="29" borderId="0" xfId="0" applyFont="1" applyFill="1" applyBorder="1" applyAlignment="1">
      <alignment horizontal="left"/>
    </xf>
    <xf numFmtId="0" fontId="53" fillId="29" borderId="259" xfId="0" applyFont="1" applyFill="1" applyBorder="1" applyAlignment="1">
      <alignment horizontal="left"/>
    </xf>
    <xf numFmtId="0" fontId="9" fillId="29" borderId="89" xfId="0" applyFont="1" applyFill="1" applyBorder="1" applyAlignment="1">
      <alignment horizontal="center"/>
    </xf>
    <xf numFmtId="0" fontId="9" fillId="29" borderId="89" xfId="0" applyFont="1" applyFill="1" applyBorder="1" applyAlignment="1">
      <alignment horizontal="right"/>
    </xf>
    <xf numFmtId="0" fontId="9" fillId="29" borderId="89" xfId="0" applyFont="1" applyFill="1" applyBorder="1" applyAlignment="1">
      <alignment horizontal="right" shrinkToFit="1"/>
    </xf>
    <xf numFmtId="0" fontId="9" fillId="29" borderId="100" xfId="0" applyFont="1" applyFill="1" applyBorder="1" applyAlignment="1">
      <alignment horizontal="right" shrinkToFit="1"/>
    </xf>
    <xf numFmtId="0" fontId="9" fillId="0" borderId="178" xfId="0" applyFont="1" applyFill="1" applyBorder="1" applyAlignment="1">
      <alignment horizontal="left" shrinkToFit="1"/>
    </xf>
    <xf numFmtId="38" fontId="9" fillId="11" borderId="82" xfId="0" applyNumberFormat="1" applyFont="1" applyFill="1" applyBorder="1" applyAlignment="1">
      <alignment horizontal="right" shrinkToFit="1"/>
    </xf>
    <xf numFmtId="38" fontId="9" fillId="11" borderId="200" xfId="0" applyNumberFormat="1" applyFont="1" applyFill="1" applyBorder="1" applyAlignment="1">
      <alignment horizontal="right" shrinkToFit="1"/>
    </xf>
    <xf numFmtId="0" fontId="9" fillId="0" borderId="142" xfId="0" applyFont="1" applyFill="1" applyBorder="1" applyAlignment="1">
      <alignment horizontal="left" shrinkToFit="1"/>
    </xf>
    <xf numFmtId="0" fontId="9" fillId="29" borderId="142" xfId="0" applyFont="1" applyFill="1" applyBorder="1" applyAlignment="1">
      <alignment horizontal="left" shrinkToFit="1"/>
    </xf>
    <xf numFmtId="0" fontId="24" fillId="0" borderId="142" xfId="0" applyFont="1" applyFill="1" applyBorder="1" applyAlignment="1">
      <alignment horizontal="left"/>
    </xf>
    <xf numFmtId="38" fontId="9" fillId="11" borderId="23" xfId="0" applyNumberFormat="1" applyFont="1" applyFill="1" applyBorder="1" applyAlignment="1">
      <alignment horizontal="right" shrinkToFit="1"/>
    </xf>
    <xf numFmtId="38" fontId="9" fillId="11" borderId="31" xfId="0" applyNumberFormat="1" applyFont="1" applyFill="1" applyBorder="1" applyAlignment="1">
      <alignment horizontal="right" shrinkToFit="1"/>
    </xf>
    <xf numFmtId="0" fontId="76" fillId="28" borderId="142" xfId="0" applyFont="1" applyFill="1" applyBorder="1" applyAlignment="1">
      <alignment horizontal="left" shrinkToFit="1"/>
    </xf>
    <xf numFmtId="0" fontId="9" fillId="28" borderId="142" xfId="0" applyFont="1" applyFill="1" applyBorder="1" applyAlignment="1">
      <alignment horizontal="left" shrinkToFit="1"/>
    </xf>
    <xf numFmtId="0" fontId="9" fillId="0" borderId="142" xfId="0" quotePrefix="1" applyFont="1" applyFill="1" applyBorder="1" applyAlignment="1">
      <alignment horizontal="left" shrinkToFit="1"/>
    </xf>
    <xf numFmtId="0" fontId="9" fillId="29" borderId="52" xfId="0" applyFont="1" applyFill="1" applyBorder="1" applyAlignment="1">
      <alignment horizontal="left" vertical="center" shrinkToFit="1"/>
    </xf>
    <xf numFmtId="192" fontId="9" fillId="0" borderId="140" xfId="0" applyNumberFormat="1" applyFont="1" applyFill="1" applyBorder="1" applyAlignment="1">
      <alignment shrinkToFit="1"/>
    </xf>
    <xf numFmtId="10" fontId="9" fillId="0" borderId="23" xfId="0" applyNumberFormat="1" applyFont="1" applyFill="1" applyBorder="1" applyAlignment="1">
      <alignment horizontal="right" shrinkToFit="1"/>
    </xf>
    <xf numFmtId="0" fontId="9" fillId="29" borderId="142" xfId="0" quotePrefix="1" applyFont="1" applyFill="1" applyBorder="1" applyAlignment="1">
      <alignment horizontal="left" shrinkToFit="1"/>
    </xf>
    <xf numFmtId="0" fontId="4" fillId="29" borderId="142" xfId="0" applyFont="1" applyFill="1" applyBorder="1" applyAlignment="1">
      <alignment horizontal="left" shrinkToFit="1"/>
    </xf>
    <xf numFmtId="0" fontId="4" fillId="29" borderId="23" xfId="0" applyFont="1" applyFill="1" applyBorder="1" applyAlignment="1">
      <alignment horizontal="right"/>
    </xf>
    <xf numFmtId="0" fontId="4" fillId="29" borderId="176" xfId="0" applyFont="1" applyFill="1" applyBorder="1" applyAlignment="1">
      <alignment horizontal="left" shrinkToFit="1"/>
    </xf>
    <xf numFmtId="0" fontId="9" fillId="29" borderId="176" xfId="0" applyFont="1" applyFill="1" applyBorder="1" applyAlignment="1">
      <alignment horizontal="left" shrinkToFit="1"/>
    </xf>
    <xf numFmtId="38" fontId="9" fillId="11" borderId="85" xfId="0" applyNumberFormat="1" applyFont="1" applyFill="1" applyBorder="1" applyAlignment="1">
      <alignment horizontal="right" shrinkToFit="1"/>
    </xf>
    <xf numFmtId="38" fontId="9" fillId="11" borderId="98" xfId="0" applyNumberFormat="1" applyFont="1" applyFill="1" applyBorder="1" applyAlignment="1">
      <alignment horizontal="right" shrinkToFit="1"/>
    </xf>
    <xf numFmtId="0" fontId="70" fillId="0" borderId="0" xfId="0" applyFont="1" applyFill="1" applyBorder="1" applyAlignment="1">
      <alignment horizontal="center"/>
    </xf>
    <xf numFmtId="0" fontId="77" fillId="0" borderId="0" xfId="0" applyFont="1" applyFill="1" applyBorder="1" applyAlignment="1">
      <alignment horizontal="left"/>
    </xf>
    <xf numFmtId="0" fontId="9" fillId="0" borderId="224" xfId="0" applyFont="1" applyFill="1" applyBorder="1" applyAlignment="1">
      <alignment horizontal="right"/>
    </xf>
    <xf numFmtId="0" fontId="9" fillId="0" borderId="225" xfId="0" applyFont="1" applyFill="1" applyBorder="1" applyAlignment="1">
      <alignment horizontal="right"/>
    </xf>
    <xf numFmtId="38" fontId="9" fillId="0" borderId="262" xfId="0" applyNumberFormat="1" applyFont="1" applyFill="1" applyBorder="1" applyAlignment="1">
      <alignment horizontal="right" shrinkToFit="1"/>
    </xf>
    <xf numFmtId="0" fontId="11" fillId="0" borderId="226" xfId="0" applyFont="1" applyFill="1" applyBorder="1" applyAlignment="1">
      <alignment horizontal="left" shrinkToFit="1"/>
    </xf>
    <xf numFmtId="0" fontId="9" fillId="0" borderId="83" xfId="0" applyFont="1" applyFill="1" applyBorder="1" applyAlignment="1"/>
    <xf numFmtId="0" fontId="9" fillId="0" borderId="233" xfId="0" applyFont="1" applyFill="1" applyBorder="1" applyAlignment="1"/>
    <xf numFmtId="10" fontId="9" fillId="0" borderId="231" xfId="0" applyNumberFormat="1" applyFont="1" applyFill="1" applyBorder="1" applyAlignment="1">
      <alignment horizontal="right" shrinkToFit="1"/>
    </xf>
    <xf numFmtId="38" fontId="9" fillId="0" borderId="248" xfId="0" applyNumberFormat="1" applyFont="1" applyFill="1" applyBorder="1" applyAlignment="1">
      <alignment horizontal="right" shrinkToFit="1"/>
    </xf>
    <xf numFmtId="0" fontId="9" fillId="0" borderId="287" xfId="0" applyFont="1" applyFill="1" applyBorder="1" applyAlignment="1">
      <alignment horizontal="center" shrinkToFit="1"/>
    </xf>
    <xf numFmtId="10" fontId="9" fillId="0" borderId="82" xfId="0" quotePrefix="1" applyNumberFormat="1" applyFont="1" applyFill="1" applyBorder="1" applyAlignment="1">
      <alignment horizontal="center" shrinkToFit="1"/>
    </xf>
    <xf numFmtId="38" fontId="9" fillId="0" borderId="82" xfId="3" applyNumberFormat="1" applyFont="1" applyFill="1" applyBorder="1" applyAlignment="1">
      <alignment horizontal="right" shrinkToFit="1"/>
    </xf>
    <xf numFmtId="0" fontId="9" fillId="0" borderId="149" xfId="0" applyFont="1" applyFill="1" applyBorder="1" applyAlignment="1">
      <alignment horizontal="center" shrinkToFit="1"/>
    </xf>
    <xf numFmtId="192" fontId="9" fillId="0" borderId="23" xfId="0" applyNumberFormat="1" applyFont="1" applyFill="1" applyBorder="1" applyAlignment="1">
      <alignment horizontal="right" shrinkToFit="1"/>
    </xf>
    <xf numFmtId="10" fontId="9" fillId="0" borderId="23" xfId="0" quotePrefix="1" applyNumberFormat="1" applyFont="1" applyFill="1" applyBorder="1" applyAlignment="1">
      <alignment horizontal="center" shrinkToFit="1"/>
    </xf>
    <xf numFmtId="38" fontId="9" fillId="0" borderId="23" xfId="3" applyNumberFormat="1" applyFont="1" applyFill="1" applyBorder="1" applyAlignment="1">
      <alignment horizontal="right" shrinkToFit="1"/>
    </xf>
    <xf numFmtId="0" fontId="76" fillId="29" borderId="142" xfId="0" applyFont="1" applyFill="1" applyBorder="1" applyAlignment="1">
      <alignment horizontal="left" shrinkToFit="1"/>
    </xf>
    <xf numFmtId="10" fontId="9" fillId="11" borderId="23" xfId="0" applyNumberFormat="1" applyFont="1" applyFill="1" applyBorder="1" applyAlignment="1">
      <alignment horizontal="right" shrinkToFit="1"/>
    </xf>
    <xf numFmtId="0" fontId="9" fillId="29" borderId="203" xfId="0" applyFont="1" applyFill="1" applyBorder="1" applyAlignment="1">
      <alignment horizontal="center" vertical="center" shrinkToFit="1"/>
    </xf>
    <xf numFmtId="0" fontId="51" fillId="29" borderId="85" xfId="0" applyFont="1" applyFill="1" applyBorder="1" applyAlignment="1">
      <alignment horizontal="left" shrinkToFit="1"/>
    </xf>
    <xf numFmtId="38" fontId="9" fillId="0" borderId="85" xfId="3" applyNumberFormat="1" applyFont="1" applyFill="1" applyBorder="1" applyAlignment="1">
      <alignment horizontal="right" shrinkToFit="1"/>
    </xf>
    <xf numFmtId="0" fontId="11" fillId="0" borderId="14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/>
    </xf>
    <xf numFmtId="0" fontId="11" fillId="0" borderId="15" xfId="0" applyFont="1" applyFill="1" applyBorder="1" applyAlignment="1">
      <alignment horizontal="left" shrinkToFit="1"/>
    </xf>
    <xf numFmtId="0" fontId="9" fillId="0" borderId="15" xfId="0" applyFont="1" applyFill="1" applyBorder="1" applyAlignment="1"/>
    <xf numFmtId="38" fontId="9" fillId="0" borderId="15" xfId="0" applyNumberFormat="1" applyFont="1" applyFill="1" applyBorder="1" applyAlignment="1">
      <alignment horizontal="right"/>
    </xf>
    <xf numFmtId="38" fontId="9" fillId="0" borderId="15" xfId="0" applyNumberFormat="1" applyFont="1" applyFill="1" applyBorder="1" applyAlignment="1">
      <alignment horizontal="right" shrinkToFit="1"/>
    </xf>
    <xf numFmtId="38" fontId="9" fillId="0" borderId="123" xfId="0" applyNumberFormat="1" applyFont="1" applyFill="1" applyBorder="1" applyAlignment="1">
      <alignment horizontal="right" shrinkToFit="1"/>
    </xf>
    <xf numFmtId="193" fontId="66" fillId="0" borderId="95" xfId="0" applyNumberFormat="1" applyFont="1" applyFill="1" applyBorder="1" applyAlignment="1">
      <alignment vertical="top" shrinkToFit="1"/>
    </xf>
    <xf numFmtId="10" fontId="4" fillId="0" borderId="31" xfId="2" applyNumberFormat="1" applyFont="1" applyFill="1" applyBorder="1" applyAlignment="1">
      <alignment horizontal="left" shrinkToFit="1"/>
    </xf>
    <xf numFmtId="193" fontId="66" fillId="0" borderId="95" xfId="0" applyNumberFormat="1" applyFont="1" applyFill="1" applyBorder="1" applyAlignment="1">
      <alignment shrinkToFit="1"/>
    </xf>
    <xf numFmtId="192" fontId="9" fillId="0" borderId="23" xfId="0" applyNumberFormat="1" applyFont="1" applyFill="1" applyBorder="1" applyAlignment="1">
      <alignment shrinkToFit="1"/>
    </xf>
    <xf numFmtId="10" fontId="51" fillId="0" borderId="23" xfId="0" applyNumberFormat="1" applyFont="1" applyFill="1" applyBorder="1" applyAlignment="1">
      <alignment horizontal="right" shrinkToFit="1"/>
    </xf>
    <xf numFmtId="9" fontId="9" fillId="0" borderId="23" xfId="0" applyNumberFormat="1" applyFont="1" applyFill="1" applyBorder="1" applyAlignment="1">
      <alignment horizontal="right" shrinkToFit="1"/>
    </xf>
    <xf numFmtId="0" fontId="51" fillId="29" borderId="121" xfId="0" applyFont="1" applyFill="1" applyBorder="1" applyAlignment="1">
      <alignment vertical="center" shrinkToFit="1"/>
    </xf>
    <xf numFmtId="0" fontId="51" fillId="31" borderId="23" xfId="0" applyFont="1" applyFill="1" applyBorder="1" applyAlignment="1">
      <alignment horizontal="left" shrinkToFit="1"/>
    </xf>
    <xf numFmtId="193" fontId="9" fillId="0" borderId="23" xfId="0" applyNumberFormat="1" applyFont="1" applyFill="1" applyBorder="1" applyAlignment="1">
      <alignment shrinkToFit="1"/>
    </xf>
    <xf numFmtId="0" fontId="51" fillId="29" borderId="95" xfId="0" applyFont="1" applyFill="1" applyBorder="1" applyAlignment="1">
      <alignment vertical="center" shrinkToFit="1"/>
    </xf>
    <xf numFmtId="0" fontId="59" fillId="31" borderId="23" xfId="0" applyFont="1" applyFill="1" applyBorder="1" applyAlignment="1">
      <alignment horizontal="left" shrinkToFit="1"/>
    </xf>
    <xf numFmtId="0" fontId="9" fillId="29" borderId="201" xfId="0" applyFont="1" applyFill="1" applyBorder="1" applyAlignment="1">
      <alignment horizontal="center" vertical="center" shrinkToFit="1"/>
    </xf>
    <xf numFmtId="0" fontId="51" fillId="29" borderId="120" xfId="0" applyFont="1" applyFill="1" applyBorder="1" applyAlignment="1">
      <alignment horizontal="left" shrinkToFit="1"/>
    </xf>
    <xf numFmtId="192" fontId="9" fillId="0" borderId="120" xfId="0" applyNumberFormat="1" applyFont="1" applyFill="1" applyBorder="1" applyAlignment="1">
      <alignment shrinkToFit="1"/>
    </xf>
    <xf numFmtId="10" fontId="9" fillId="0" borderId="120" xfId="0" applyNumberFormat="1" applyFont="1" applyFill="1" applyBorder="1" applyAlignment="1">
      <alignment horizontal="right" shrinkToFit="1"/>
    </xf>
    <xf numFmtId="0" fontId="9" fillId="0" borderId="288" xfId="0" applyFont="1" applyFill="1" applyBorder="1" applyAlignment="1">
      <alignment horizontal="center" shrinkToFit="1"/>
    </xf>
    <xf numFmtId="0" fontId="9" fillId="29" borderId="289" xfId="0" applyFont="1" applyFill="1" applyBorder="1" applyAlignment="1">
      <alignment horizontal="center" vertical="center" shrinkToFit="1"/>
    </xf>
    <xf numFmtId="0" fontId="9" fillId="29" borderId="290" xfId="0" applyFont="1" applyFill="1" applyBorder="1" applyAlignment="1">
      <alignment horizontal="left" shrinkToFit="1"/>
    </xf>
    <xf numFmtId="192" fontId="9" fillId="0" borderId="290" xfId="0" applyNumberFormat="1" applyFont="1" applyFill="1" applyBorder="1" applyAlignment="1">
      <alignment shrinkToFit="1"/>
    </xf>
    <xf numFmtId="0" fontId="9" fillId="0" borderId="292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right"/>
    </xf>
    <xf numFmtId="0" fontId="9" fillId="0" borderId="249" xfId="0" applyFont="1" applyFill="1" applyBorder="1" applyAlignment="1">
      <alignment horizontal="left"/>
    </xf>
    <xf numFmtId="0" fontId="9" fillId="0" borderId="293" xfId="0" applyFont="1" applyFill="1" applyBorder="1" applyAlignment="1">
      <alignment horizontal="left"/>
    </xf>
    <xf numFmtId="0" fontId="9" fillId="0" borderId="293" xfId="0" applyFont="1" applyFill="1" applyBorder="1" applyAlignment="1">
      <alignment horizontal="right"/>
    </xf>
    <xf numFmtId="0" fontId="9" fillId="0" borderId="175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right"/>
    </xf>
    <xf numFmtId="0" fontId="9" fillId="0" borderId="176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right"/>
    </xf>
    <xf numFmtId="0" fontId="76" fillId="0" borderId="231" xfId="0" applyFont="1" applyFill="1" applyBorder="1" applyAlignment="1">
      <alignment horizontal="center" wrapText="1"/>
    </xf>
    <xf numFmtId="0" fontId="9" fillId="0" borderId="89" xfId="0" applyFont="1" applyFill="1" applyBorder="1" applyAlignment="1">
      <alignment horizontal="center"/>
    </xf>
    <xf numFmtId="0" fontId="9" fillId="0" borderId="177" xfId="0" applyFont="1" applyFill="1" applyBorder="1" applyAlignment="1">
      <alignment horizontal="right"/>
    </xf>
    <xf numFmtId="0" fontId="9" fillId="0" borderId="178" xfId="0" applyFont="1" applyFill="1" applyBorder="1" applyAlignment="1">
      <alignment horizontal="right"/>
    </xf>
    <xf numFmtId="0" fontId="9" fillId="0" borderId="233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/>
    </xf>
    <xf numFmtId="0" fontId="9" fillId="0" borderId="115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right"/>
    </xf>
    <xf numFmtId="0" fontId="8" fillId="0" borderId="140" xfId="0" applyFont="1" applyFill="1" applyBorder="1" applyAlignment="1">
      <alignment horizontal="left"/>
    </xf>
    <xf numFmtId="0" fontId="9" fillId="0" borderId="23" xfId="0" applyFont="1" applyFill="1" applyBorder="1" applyAlignment="1">
      <alignment horizontal="left"/>
    </xf>
    <xf numFmtId="0" fontId="24" fillId="0" borderId="23" xfId="0" applyFont="1" applyFill="1" applyBorder="1" applyAlignment="1">
      <alignment horizontal="right"/>
    </xf>
    <xf numFmtId="0" fontId="24" fillId="0" borderId="286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center"/>
    </xf>
    <xf numFmtId="0" fontId="9" fillId="0" borderId="231" xfId="0" applyFont="1" applyFill="1" applyBorder="1" applyAlignment="1">
      <alignment horizontal="right"/>
    </xf>
    <xf numFmtId="0" fontId="11" fillId="0" borderId="89" xfId="0" applyFont="1" applyFill="1" applyBorder="1" applyAlignment="1">
      <alignment horizontal="left"/>
    </xf>
    <xf numFmtId="0" fontId="9" fillId="0" borderId="82" xfId="0" applyFont="1" applyFill="1" applyBorder="1" applyAlignment="1">
      <alignment horizontal="center" shrinkToFit="1"/>
    </xf>
    <xf numFmtId="0" fontId="9" fillId="0" borderId="82" xfId="0" applyFont="1" applyFill="1" applyBorder="1" applyAlignment="1">
      <alignment horizontal="left" shrinkToFit="1"/>
    </xf>
    <xf numFmtId="0" fontId="9" fillId="0" borderId="82" xfId="0" applyFont="1" applyFill="1" applyBorder="1" applyAlignment="1">
      <alignment shrinkToFit="1"/>
    </xf>
    <xf numFmtId="10" fontId="9" fillId="33" borderId="82" xfId="0" quotePrefix="1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>
      <alignment horizontal="right"/>
    </xf>
    <xf numFmtId="180" fontId="9" fillId="0" borderId="23" xfId="0" applyNumberFormat="1" applyFont="1" applyFill="1" applyBorder="1" applyAlignment="1">
      <alignment horizontal="right" shrinkToFit="1"/>
    </xf>
    <xf numFmtId="0" fontId="9" fillId="0" borderId="23" xfId="0" applyNumberFormat="1" applyFont="1" applyFill="1" applyBorder="1" applyAlignment="1">
      <alignment shrinkToFit="1"/>
    </xf>
    <xf numFmtId="0" fontId="9" fillId="0" borderId="23" xfId="0" applyFont="1" applyFill="1" applyBorder="1" applyAlignment="1">
      <alignment horizontal="right" shrinkToFit="1"/>
    </xf>
    <xf numFmtId="0" fontId="9" fillId="0" borderId="23" xfId="0" quotePrefix="1" applyFont="1" applyFill="1" applyBorder="1" applyAlignment="1"/>
    <xf numFmtId="0" fontId="9" fillId="0" borderId="23" xfId="0" applyFont="1" applyFill="1" applyBorder="1" applyAlignment="1">
      <alignment shrinkToFit="1"/>
    </xf>
    <xf numFmtId="0" fontId="9" fillId="0" borderId="23" xfId="0" applyFont="1" applyFill="1" applyBorder="1" applyAlignment="1">
      <alignment horizontal="left" shrinkToFit="1"/>
    </xf>
    <xf numFmtId="0" fontId="9" fillId="0" borderId="120" xfId="0" applyFont="1" applyFill="1" applyBorder="1" applyAlignment="1">
      <alignment horizontal="left"/>
    </xf>
    <xf numFmtId="0" fontId="9" fillId="0" borderId="85" xfId="0" applyFont="1" applyFill="1" applyBorder="1" applyAlignment="1">
      <alignment horizontal="left" shrinkToFit="1"/>
    </xf>
    <xf numFmtId="9" fontId="9" fillId="0" borderId="85" xfId="0" applyNumberFormat="1" applyFont="1" applyFill="1" applyBorder="1" applyAlignment="1">
      <alignment horizontal="right" shrinkToFit="1"/>
    </xf>
    <xf numFmtId="0" fontId="9" fillId="0" borderId="229" xfId="0" applyFont="1" applyFill="1" applyBorder="1" applyAlignment="1">
      <alignment horizontal="right"/>
    </xf>
    <xf numFmtId="0" fontId="9" fillId="0" borderId="231" xfId="0" applyFont="1" applyFill="1" applyBorder="1" applyAlignment="1">
      <alignment horizontal="right" shrinkToFit="1"/>
    </xf>
    <xf numFmtId="0" fontId="9" fillId="0" borderId="82" xfId="0" applyFont="1" applyFill="1" applyBorder="1" applyAlignment="1">
      <alignment horizontal="right" shrinkToFit="1"/>
    </xf>
    <xf numFmtId="0" fontId="11" fillId="0" borderId="89" xfId="0" applyFont="1" applyFill="1" applyBorder="1" applyAlignment="1">
      <alignment horizontal="left" shrinkToFit="1"/>
    </xf>
    <xf numFmtId="0" fontId="9" fillId="0" borderId="85" xfId="0" applyFont="1" applyFill="1" applyBorder="1" applyAlignment="1">
      <alignment horizontal="right" shrinkToFit="1"/>
    </xf>
    <xf numFmtId="0" fontId="9" fillId="0" borderId="226" xfId="0" applyFont="1" applyFill="1" applyBorder="1" applyAlignment="1">
      <alignment horizontal="right"/>
    </xf>
    <xf numFmtId="0" fontId="9" fillId="0" borderId="95" xfId="0" quotePrefix="1" applyFont="1" applyFill="1" applyBorder="1" applyAlignment="1">
      <alignment horizontal="left" shrinkToFit="1"/>
    </xf>
    <xf numFmtId="10" fontId="9" fillId="0" borderId="82" xfId="0" applyNumberFormat="1" applyFont="1" applyFill="1" applyBorder="1" applyAlignment="1">
      <alignment horizontal="right" shrinkToFit="1"/>
    </xf>
    <xf numFmtId="0" fontId="9" fillId="0" borderId="23" xfId="0" applyFont="1" applyFill="1" applyBorder="1" applyAlignment="1"/>
    <xf numFmtId="0" fontId="9" fillId="0" borderId="284" xfId="0" applyFont="1" applyFill="1" applyBorder="1" applyAlignment="1">
      <alignment horizontal="right"/>
    </xf>
    <xf numFmtId="0" fontId="9" fillId="0" borderId="82" xfId="0" applyFont="1" applyFill="1" applyBorder="1" applyAlignment="1">
      <alignment horizontal="right"/>
    </xf>
    <xf numFmtId="0" fontId="9" fillId="0" borderId="142" xfId="0" applyFont="1" applyFill="1" applyBorder="1" applyAlignment="1">
      <alignment horizontal="left"/>
    </xf>
    <xf numFmtId="0" fontId="9" fillId="0" borderId="295" xfId="0" applyFont="1" applyFill="1" applyBorder="1" applyAlignment="1">
      <alignment horizontal="right"/>
    </xf>
    <xf numFmtId="0" fontId="9" fillId="0" borderId="296" xfId="0" applyFont="1" applyFill="1" applyBorder="1" applyAlignment="1">
      <alignment horizontal="right"/>
    </xf>
    <xf numFmtId="0" fontId="9" fillId="0" borderId="296" xfId="0" applyFont="1" applyFill="1" applyBorder="1" applyAlignment="1">
      <alignment horizontal="left"/>
    </xf>
    <xf numFmtId="0" fontId="9" fillId="0" borderId="290" xfId="0" applyFont="1" applyFill="1" applyBorder="1" applyAlignment="1">
      <alignment horizontal="left"/>
    </xf>
    <xf numFmtId="0" fontId="9" fillId="0" borderId="290" xfId="0" applyFont="1" applyFill="1" applyBorder="1" applyAlignment="1">
      <alignment horizontal="right"/>
    </xf>
    <xf numFmtId="38" fontId="9" fillId="0" borderId="234" xfId="0" applyNumberFormat="1" applyFont="1" applyFill="1" applyBorder="1" applyAlignment="1">
      <alignment horizontal="right" shrinkToFit="1"/>
    </xf>
    <xf numFmtId="38" fontId="9" fillId="0" borderId="91" xfId="0" applyNumberFormat="1" applyFont="1" applyFill="1" applyBorder="1" applyAlignment="1">
      <alignment horizontal="right" shrinkToFit="1"/>
    </xf>
    <xf numFmtId="176" fontId="4" fillId="0" borderId="23" xfId="0" applyNumberFormat="1" applyFont="1" applyFill="1" applyBorder="1" applyAlignment="1"/>
    <xf numFmtId="38" fontId="4" fillId="0" borderId="91" xfId="0" applyNumberFormat="1" applyFont="1" applyFill="1" applyBorder="1" applyAlignment="1">
      <alignment shrinkToFit="1"/>
    </xf>
    <xf numFmtId="176" fontId="4" fillId="0" borderId="262" xfId="0" applyNumberFormat="1" applyFont="1" applyFill="1" applyBorder="1" applyAlignment="1">
      <alignment shrinkToFit="1"/>
    </xf>
    <xf numFmtId="194" fontId="4" fillId="30" borderId="111" xfId="0" applyNumberFormat="1" applyFont="1" applyFill="1" applyBorder="1" applyAlignment="1">
      <alignment horizontal="center"/>
    </xf>
    <xf numFmtId="193" fontId="4" fillId="30" borderId="23" xfId="0" applyNumberFormat="1" applyFont="1" applyFill="1" applyBorder="1" applyAlignment="1" applyProtection="1">
      <alignment horizontal="center" vertical="center"/>
    </xf>
    <xf numFmtId="193" fontId="4" fillId="30" borderId="23" xfId="2" applyNumberFormat="1" applyFont="1" applyFill="1" applyBorder="1" applyAlignment="1" applyProtection="1">
      <alignment horizontal="center" vertical="center"/>
    </xf>
    <xf numFmtId="2" fontId="4" fillId="30" borderId="23" xfId="0" applyNumberFormat="1" applyFont="1" applyFill="1" applyBorder="1" applyAlignment="1" applyProtection="1">
      <alignment horizontal="center" vertical="center"/>
    </xf>
    <xf numFmtId="0" fontId="4" fillId="26" borderId="157" xfId="0" applyFont="1" applyFill="1" applyBorder="1" applyAlignment="1"/>
    <xf numFmtId="0" fontId="4" fillId="26" borderId="128" xfId="0" applyFont="1" applyFill="1" applyBorder="1" applyAlignment="1"/>
    <xf numFmtId="2" fontId="4" fillId="17" borderId="118" xfId="0" applyNumberFormat="1" applyFont="1" applyFill="1" applyBorder="1" applyAlignment="1" applyProtection="1">
      <alignment horizontal="center" vertical="center"/>
    </xf>
    <xf numFmtId="0" fontId="4" fillId="26" borderId="127" xfId="0" applyFont="1" applyFill="1" applyBorder="1" applyAlignment="1"/>
    <xf numFmtId="0" fontId="4" fillId="17" borderId="118" xfId="0" applyFont="1" applyFill="1" applyBorder="1" applyAlignment="1" applyProtection="1">
      <alignment horizontal="center" vertical="center"/>
    </xf>
    <xf numFmtId="0" fontId="4" fillId="30" borderId="0" xfId="0" applyFont="1" applyFill="1" applyAlignment="1">
      <alignment horizontal="center" vertical="center"/>
    </xf>
    <xf numFmtId="193" fontId="4" fillId="30" borderId="52" xfId="2" applyNumberFormat="1" applyFont="1" applyFill="1" applyBorder="1" applyAlignment="1" applyProtection="1">
      <alignment horizontal="center" vertical="center"/>
    </xf>
    <xf numFmtId="0" fontId="4" fillId="17" borderId="127" xfId="0" applyFont="1" applyFill="1" applyBorder="1" applyAlignment="1"/>
    <xf numFmtId="0" fontId="4" fillId="17" borderId="128" xfId="0" applyFont="1" applyFill="1" applyBorder="1" applyAlignment="1"/>
    <xf numFmtId="0" fontId="4" fillId="30" borderId="195" xfId="0" applyFont="1" applyFill="1" applyBorder="1" applyAlignment="1" applyProtection="1">
      <alignment horizontal="center" vertical="center"/>
    </xf>
    <xf numFmtId="0" fontId="4" fillId="17" borderId="300" xfId="0" applyFont="1" applyFill="1" applyBorder="1" applyAlignment="1" applyProtection="1">
      <alignment horizontal="center" vertical="center"/>
    </xf>
    <xf numFmtId="0" fontId="4" fillId="17" borderId="0" xfId="0" applyFont="1" applyFill="1" applyBorder="1" applyAlignment="1" applyProtection="1">
      <alignment horizontal="center" vertical="center"/>
    </xf>
    <xf numFmtId="38" fontId="9" fillId="0" borderId="12" xfId="0" applyNumberFormat="1" applyFont="1" applyFill="1" applyBorder="1" applyAlignment="1">
      <alignment horizontal="center" vertical="center" shrinkToFit="1"/>
    </xf>
    <xf numFmtId="191" fontId="4" fillId="0" borderId="152" xfId="0" applyNumberFormat="1" applyFont="1" applyFill="1" applyBorder="1" applyAlignment="1">
      <alignment horizontal="center" shrinkToFit="1"/>
    </xf>
    <xf numFmtId="0" fontId="9" fillId="29" borderId="248" xfId="0" applyFont="1" applyFill="1" applyBorder="1" applyAlignment="1">
      <alignment horizontal="center" shrinkToFit="1"/>
    </xf>
    <xf numFmtId="0" fontId="9" fillId="29" borderId="234" xfId="0" applyFont="1" applyFill="1" applyBorder="1" applyAlignment="1">
      <alignment horizontal="center" shrinkToFit="1"/>
    </xf>
    <xf numFmtId="179" fontId="9" fillId="32" borderId="151" xfId="0" applyNumberFormat="1" applyFont="1" applyFill="1" applyBorder="1" applyAlignment="1">
      <alignment shrinkToFit="1"/>
    </xf>
    <xf numFmtId="179" fontId="9" fillId="32" borderId="152" xfId="0" applyNumberFormat="1" applyFont="1" applyFill="1" applyBorder="1" applyAlignment="1">
      <alignment shrinkToFit="1"/>
    </xf>
    <xf numFmtId="179" fontId="9" fillId="32" borderId="82" xfId="0" applyNumberFormat="1" applyFont="1" applyFill="1" applyBorder="1" applyAlignment="1">
      <alignment shrinkToFit="1"/>
    </xf>
    <xf numFmtId="179" fontId="9" fillId="32" borderId="89" xfId="0" applyNumberFormat="1" applyFont="1" applyFill="1" applyBorder="1" applyAlignment="1">
      <alignment shrinkToFit="1"/>
    </xf>
    <xf numFmtId="38" fontId="9" fillId="34" borderId="23" xfId="0" applyNumberFormat="1" applyFont="1" applyFill="1" applyBorder="1" applyAlignment="1">
      <alignment horizontal="right" shrinkToFit="1"/>
    </xf>
    <xf numFmtId="0" fontId="24" fillId="29" borderId="142" xfId="0" applyFont="1" applyFill="1" applyBorder="1" applyAlignment="1">
      <alignment horizontal="left"/>
    </xf>
    <xf numFmtId="0" fontId="51" fillId="0" borderId="23" xfId="0" applyFont="1" applyFill="1" applyBorder="1" applyAlignment="1">
      <alignment horizontal="left" shrinkToFit="1"/>
    </xf>
    <xf numFmtId="0" fontId="9" fillId="0" borderId="262" xfId="0" applyFont="1" applyFill="1" applyBorder="1" applyAlignment="1">
      <alignment horizontal="center" shrinkToFit="1"/>
    </xf>
    <xf numFmtId="38" fontId="9" fillId="0" borderId="90" xfId="0" applyNumberFormat="1" applyFont="1" applyFill="1" applyBorder="1" applyAlignment="1">
      <alignment horizontal="right"/>
    </xf>
    <xf numFmtId="38" fontId="9" fillId="0" borderId="92" xfId="0" applyNumberFormat="1" applyFont="1" applyFill="1" applyBorder="1" applyAlignment="1">
      <alignment horizontal="right" shrinkToFit="1"/>
    </xf>
    <xf numFmtId="38" fontId="9" fillId="0" borderId="90" xfId="0" applyNumberFormat="1" applyFont="1" applyFill="1" applyBorder="1" applyAlignment="1">
      <alignment horizontal="right" shrinkToFit="1"/>
    </xf>
    <xf numFmtId="38" fontId="9" fillId="0" borderId="311" xfId="0" applyNumberFormat="1" applyFont="1" applyFill="1" applyBorder="1" applyAlignment="1">
      <alignment horizontal="right" shrinkToFit="1"/>
    </xf>
    <xf numFmtId="194" fontId="4" fillId="30" borderId="59" xfId="0" applyNumberFormat="1" applyFont="1" applyFill="1" applyBorder="1" applyAlignment="1">
      <alignment horizontal="center"/>
    </xf>
    <xf numFmtId="193" fontId="4" fillId="30" borderId="60" xfId="0" applyNumberFormat="1" applyFont="1" applyFill="1" applyBorder="1" applyAlignment="1" applyProtection="1">
      <alignment horizontal="center" vertical="center"/>
    </xf>
    <xf numFmtId="193" fontId="4" fillId="30" borderId="60" xfId="2" applyNumberFormat="1" applyFont="1" applyFill="1" applyBorder="1" applyAlignment="1" applyProtection="1">
      <alignment horizontal="center" vertical="center"/>
    </xf>
    <xf numFmtId="2" fontId="4" fillId="30" borderId="60" xfId="0" applyNumberFormat="1" applyFont="1" applyFill="1" applyBorder="1" applyAlignment="1" applyProtection="1">
      <alignment horizontal="center" vertical="center"/>
    </xf>
    <xf numFmtId="2" fontId="4" fillId="17" borderId="58" xfId="0" applyNumberFormat="1" applyFont="1" applyFill="1" applyBorder="1" applyAlignment="1" applyProtection="1">
      <alignment horizontal="center" vertical="center"/>
    </xf>
    <xf numFmtId="0" fontId="4" fillId="17" borderId="58" xfId="0" applyFont="1" applyFill="1" applyBorder="1" applyAlignment="1" applyProtection="1">
      <alignment horizontal="center" vertical="center"/>
    </xf>
    <xf numFmtId="0" fontId="4" fillId="0" borderId="0" xfId="0" applyFont="1" applyBorder="1" applyAlignment="1">
      <alignment vertical="center" shrinkToFit="1"/>
    </xf>
    <xf numFmtId="0" fontId="78" fillId="0" borderId="0" xfId="0" applyFont="1" applyFill="1" applyBorder="1" applyAlignment="1">
      <alignment horizontal="right" vertical="center"/>
    </xf>
    <xf numFmtId="0" fontId="78" fillId="0" borderId="0" xfId="0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right" vertical="center"/>
    </xf>
    <xf numFmtId="0" fontId="80" fillId="0" borderId="0" xfId="0" applyFont="1" applyFill="1" applyBorder="1" applyAlignment="1">
      <alignment horizontal="left" vertical="center"/>
    </xf>
    <xf numFmtId="0" fontId="81" fillId="0" borderId="0" xfId="0" applyFont="1" applyAlignment="1">
      <alignment vertical="center" shrinkToFit="1"/>
    </xf>
    <xf numFmtId="0" fontId="82" fillId="0" borderId="0" xfId="0" applyFont="1" applyFill="1" applyBorder="1" applyAlignment="1">
      <alignment horizontal="right" shrinkToFit="1"/>
    </xf>
    <xf numFmtId="0" fontId="83" fillId="35" borderId="225" xfId="0" applyFont="1" applyFill="1" applyBorder="1" applyAlignment="1">
      <alignment horizontal="center" vertical="center" shrinkToFit="1"/>
    </xf>
    <xf numFmtId="0" fontId="81" fillId="0" borderId="0" xfId="0" applyFont="1" applyFill="1"/>
    <xf numFmtId="0" fontId="81" fillId="0" borderId="0" xfId="0" applyFont="1" applyFill="1" applyBorder="1"/>
    <xf numFmtId="0" fontId="86" fillId="28" borderId="12" xfId="0" applyFont="1" applyFill="1" applyBorder="1" applyAlignment="1">
      <alignment horizontal="center" vertical="center" shrinkToFit="1"/>
    </xf>
    <xf numFmtId="0" fontId="78" fillId="0" borderId="0" xfId="0" applyFont="1" applyFill="1" applyBorder="1" applyAlignment="1">
      <alignment horizontal="right" vertical="center" shrinkToFit="1"/>
    </xf>
    <xf numFmtId="0" fontId="78" fillId="0" borderId="224" xfId="0" applyFont="1" applyFill="1" applyBorder="1" applyAlignment="1">
      <alignment horizontal="right" vertical="center"/>
    </xf>
    <xf numFmtId="0" fontId="78" fillId="0" borderId="225" xfId="0" applyFont="1" applyFill="1" applyBorder="1" applyAlignment="1">
      <alignment horizontal="right" vertical="center"/>
    </xf>
    <xf numFmtId="0" fontId="87" fillId="0" borderId="225" xfId="0" applyFont="1" applyBorder="1" applyAlignment="1">
      <alignment vertical="center"/>
    </xf>
    <xf numFmtId="0" fontId="88" fillId="0" borderId="225" xfId="0" applyFont="1" applyFill="1" applyBorder="1" applyAlignment="1">
      <alignment horizontal="center" vertical="center"/>
    </xf>
    <xf numFmtId="0" fontId="78" fillId="0" borderId="225" xfId="0" applyFont="1" applyFill="1" applyBorder="1" applyAlignment="1">
      <alignment horizontal="center" vertical="center"/>
    </xf>
    <xf numFmtId="0" fontId="87" fillId="0" borderId="82" xfId="0" applyFont="1" applyFill="1" applyBorder="1" applyAlignment="1">
      <alignment horizontal="right"/>
    </xf>
    <xf numFmtId="0" fontId="86" fillId="28" borderId="231" xfId="0" applyFont="1" applyFill="1" applyBorder="1" applyAlignment="1">
      <alignment horizontal="center" vertical="center" shrinkToFit="1"/>
    </xf>
    <xf numFmtId="0" fontId="86" fillId="28" borderId="248" xfId="0" applyFont="1" applyFill="1" applyBorder="1" applyAlignment="1">
      <alignment horizontal="center" vertical="center" shrinkToFit="1"/>
    </xf>
    <xf numFmtId="177" fontId="78" fillId="0" borderId="231" xfId="0" applyNumberFormat="1" applyFont="1" applyFill="1" applyBorder="1" applyAlignment="1">
      <alignment horizontal="right" vertical="center"/>
    </xf>
    <xf numFmtId="177" fontId="78" fillId="0" borderId="231" xfId="0" applyNumberFormat="1" applyFont="1" applyFill="1" applyBorder="1" applyAlignment="1">
      <alignment vertical="center" shrinkToFit="1"/>
    </xf>
    <xf numFmtId="177" fontId="78" fillId="0" borderId="231" xfId="0" applyNumberFormat="1" applyFont="1" applyFill="1" applyBorder="1" applyAlignment="1">
      <alignment horizontal="right" vertical="center" shrinkToFit="1"/>
    </xf>
    <xf numFmtId="177" fontId="78" fillId="0" borderId="248" xfId="0" applyNumberFormat="1" applyFont="1" applyFill="1" applyBorder="1" applyAlignment="1">
      <alignment vertical="center" shrinkToFit="1"/>
    </xf>
    <xf numFmtId="0" fontId="78" fillId="0" borderId="226" xfId="0" applyFont="1" applyFill="1" applyBorder="1" applyAlignment="1">
      <alignment horizontal="right" vertical="center"/>
    </xf>
    <xf numFmtId="0" fontId="78" fillId="0" borderId="139" xfId="0" applyFont="1" applyFill="1" applyBorder="1" applyAlignment="1">
      <alignment horizontal="center" vertical="center"/>
    </xf>
    <xf numFmtId="177" fontId="78" fillId="0" borderId="120" xfId="0" applyNumberFormat="1" applyFont="1" applyFill="1" applyBorder="1" applyAlignment="1">
      <alignment horizontal="right" vertical="center"/>
    </xf>
    <xf numFmtId="177" fontId="78" fillId="0" borderId="120" xfId="0" applyNumberFormat="1" applyFont="1" applyFill="1" applyBorder="1" applyAlignment="1">
      <alignment vertical="center" shrinkToFit="1"/>
    </xf>
    <xf numFmtId="177" fontId="78" fillId="0" borderId="120" xfId="0" applyNumberFormat="1" applyFont="1" applyFill="1" applyBorder="1" applyAlignment="1">
      <alignment horizontal="right" vertical="center" shrinkToFit="1"/>
    </xf>
    <xf numFmtId="177" fontId="78" fillId="0" borderId="260" xfId="0" applyNumberFormat="1" applyFont="1" applyFill="1" applyBorder="1" applyAlignment="1">
      <alignment vertical="center" shrinkToFit="1"/>
    </xf>
    <xf numFmtId="0" fontId="78" fillId="0" borderId="14" xfId="0" applyFont="1" applyFill="1" applyBorder="1" applyAlignment="1">
      <alignment horizontal="right" vertical="center"/>
    </xf>
    <xf numFmtId="0" fontId="78" fillId="0" borderId="15" xfId="0" applyFont="1" applyFill="1" applyBorder="1" applyAlignment="1">
      <alignment horizontal="center" vertical="center"/>
    </xf>
    <xf numFmtId="177" fontId="78" fillId="0" borderId="151" xfId="0" applyNumberFormat="1" applyFont="1" applyFill="1" applyBorder="1" applyAlignment="1">
      <alignment horizontal="right" vertical="center"/>
    </xf>
    <xf numFmtId="177" fontId="78" fillId="0" borderId="151" xfId="0" applyNumberFormat="1" applyFont="1" applyFill="1" applyBorder="1" applyAlignment="1">
      <alignment vertical="center" shrinkToFit="1"/>
    </xf>
    <xf numFmtId="177" fontId="78" fillId="0" borderId="151" xfId="0" applyNumberFormat="1" applyFont="1" applyFill="1" applyBorder="1" applyAlignment="1">
      <alignment horizontal="right" vertical="center" shrinkToFit="1"/>
    </xf>
    <xf numFmtId="177" fontId="78" fillId="0" borderId="123" xfId="0" applyNumberFormat="1" applyFont="1" applyFill="1" applyBorder="1" applyAlignment="1">
      <alignment vertical="center" shrinkToFit="1"/>
    </xf>
    <xf numFmtId="0" fontId="78" fillId="29" borderId="0" xfId="0" applyFont="1" applyFill="1" applyBorder="1" applyAlignment="1">
      <alignment horizontal="right" vertical="center"/>
    </xf>
    <xf numFmtId="0" fontId="90" fillId="29" borderId="0" xfId="0" applyFont="1" applyFill="1" applyBorder="1" applyAlignment="1">
      <alignment horizontal="distributed" vertical="center"/>
    </xf>
    <xf numFmtId="0" fontId="90" fillId="29" borderId="0" xfId="0" applyFont="1" applyFill="1" applyBorder="1" applyAlignment="1">
      <alignment horizontal="left" vertical="center"/>
    </xf>
    <xf numFmtId="0" fontId="88" fillId="29" borderId="0" xfId="0" applyFont="1" applyFill="1" applyBorder="1" applyAlignment="1">
      <alignment horizontal="center" vertical="center"/>
    </xf>
    <xf numFmtId="0" fontId="78" fillId="29" borderId="0" xfId="0" applyFont="1" applyFill="1" applyBorder="1" applyAlignment="1">
      <alignment horizontal="center" vertical="center"/>
    </xf>
    <xf numFmtId="0" fontId="82" fillId="0" borderId="0" xfId="0" applyFont="1" applyFill="1" applyBorder="1" applyAlignment="1">
      <alignment horizontal="left" vertical="center"/>
    </xf>
    <xf numFmtId="0" fontId="78" fillId="29" borderId="0" xfId="0" applyFont="1" applyFill="1" applyBorder="1" applyAlignment="1">
      <alignment vertical="center"/>
    </xf>
    <xf numFmtId="0" fontId="78" fillId="29" borderId="0" xfId="0" applyFont="1" applyFill="1" applyBorder="1" applyAlignment="1">
      <alignment horizontal="right" vertical="center" shrinkToFit="1"/>
    </xf>
    <xf numFmtId="0" fontId="78" fillId="29" borderId="234" xfId="0" applyFont="1" applyFill="1" applyBorder="1" applyAlignment="1">
      <alignment horizontal="right" vertical="center" shrinkToFit="1"/>
    </xf>
    <xf numFmtId="0" fontId="87" fillId="0" borderId="177" xfId="0" applyFont="1" applyFill="1" applyBorder="1" applyAlignment="1">
      <alignment horizontal="right"/>
    </xf>
    <xf numFmtId="0" fontId="87" fillId="0" borderId="178" xfId="0" applyFont="1" applyFill="1" applyBorder="1" applyAlignment="1">
      <alignment horizontal="right"/>
    </xf>
    <xf numFmtId="0" fontId="87" fillId="0" borderId="178" xfId="0" applyFont="1" applyFill="1" applyBorder="1" applyAlignment="1">
      <alignment horizontal="distributed"/>
    </xf>
    <xf numFmtId="191" fontId="87" fillId="0" borderId="82" xfId="0" applyNumberFormat="1" applyFont="1" applyFill="1" applyBorder="1" applyAlignment="1">
      <alignment horizontal="center" shrinkToFit="1"/>
    </xf>
    <xf numFmtId="191" fontId="87" fillId="0" borderId="200" xfId="0" applyNumberFormat="1" applyFont="1" applyFill="1" applyBorder="1" applyAlignment="1">
      <alignment horizontal="center" shrinkToFit="1"/>
    </xf>
    <xf numFmtId="0" fontId="87" fillId="0" borderId="175" xfId="0" applyFont="1" applyFill="1" applyBorder="1" applyAlignment="1">
      <alignment horizontal="right"/>
    </xf>
    <xf numFmtId="0" fontId="87" fillId="0" borderId="176" xfId="0" applyFont="1" applyFill="1" applyBorder="1" applyAlignment="1">
      <alignment horizontal="right"/>
    </xf>
    <xf numFmtId="0" fontId="87" fillId="0" borderId="176" xfId="0" applyFont="1" applyFill="1" applyBorder="1" applyAlignment="1">
      <alignment horizontal="distributed" vertical="center"/>
    </xf>
    <xf numFmtId="191" fontId="87" fillId="0" borderId="85" xfId="0" applyNumberFormat="1" applyFont="1" applyFill="1" applyBorder="1" applyAlignment="1">
      <alignment horizontal="center" shrinkToFit="1"/>
    </xf>
    <xf numFmtId="191" fontId="87" fillId="0" borderId="98" xfId="0" applyNumberFormat="1" applyFont="1" applyFill="1" applyBorder="1" applyAlignment="1">
      <alignment horizontal="center" shrinkToFit="1"/>
    </xf>
    <xf numFmtId="0" fontId="78" fillId="29" borderId="226" xfId="0" applyFont="1" applyFill="1" applyBorder="1" applyAlignment="1">
      <alignment horizontal="right" vertical="center"/>
    </xf>
    <xf numFmtId="38" fontId="83" fillId="0" borderId="23" xfId="0" applyNumberFormat="1" applyFont="1" applyFill="1" applyBorder="1" applyAlignment="1">
      <alignment horizontal="center" shrinkToFit="1"/>
    </xf>
    <xf numFmtId="38" fontId="83" fillId="0" borderId="200" xfId="0" applyNumberFormat="1" applyFont="1" applyFill="1" applyBorder="1" applyAlignment="1">
      <alignment horizontal="center" shrinkToFit="1"/>
    </xf>
    <xf numFmtId="0" fontId="87" fillId="0" borderId="0" xfId="0" applyFont="1" applyFill="1" applyBorder="1" applyAlignment="1">
      <alignment vertical="center"/>
    </xf>
    <xf numFmtId="38" fontId="87" fillId="0" borderId="95" xfId="0" applyNumberFormat="1" applyFont="1" applyFill="1" applyBorder="1" applyAlignment="1">
      <alignment horizontal="center" vertical="center" shrinkToFit="1"/>
    </xf>
    <xf numFmtId="38" fontId="87" fillId="0" borderId="99" xfId="0" applyNumberFormat="1" applyFont="1" applyFill="1" applyBorder="1" applyAlignment="1">
      <alignment horizontal="center" vertical="center" shrinkToFit="1"/>
    </xf>
    <xf numFmtId="38" fontId="87" fillId="0" borderId="89" xfId="0" applyNumberFormat="1" applyFont="1" applyFill="1" applyBorder="1" applyAlignment="1">
      <alignment horizontal="center" vertical="center" shrinkToFit="1"/>
    </xf>
    <xf numFmtId="38" fontId="87" fillId="0" borderId="98" xfId="0" applyNumberFormat="1" applyFont="1" applyFill="1" applyBorder="1" applyAlignment="1">
      <alignment horizontal="center" vertical="center" shrinkToFit="1"/>
    </xf>
    <xf numFmtId="0" fontId="78" fillId="29" borderId="224" xfId="0" applyFont="1" applyFill="1" applyBorder="1" applyAlignment="1">
      <alignment horizontal="right"/>
    </xf>
    <xf numFmtId="0" fontId="87" fillId="29" borderId="178" xfId="0" applyFont="1" applyFill="1" applyBorder="1" applyAlignment="1"/>
    <xf numFmtId="0" fontId="78" fillId="29" borderId="178" xfId="0" applyFont="1" applyFill="1" applyBorder="1" applyAlignment="1">
      <alignment horizontal="right"/>
    </xf>
    <xf numFmtId="0" fontId="78" fillId="0" borderId="83" xfId="0" applyFont="1" applyFill="1" applyBorder="1" applyAlignment="1">
      <alignment horizontal="center"/>
    </xf>
    <xf numFmtId="38" fontId="78" fillId="29" borderId="82" xfId="0" applyNumberFormat="1" applyFont="1" applyFill="1" applyBorder="1" applyAlignment="1">
      <alignment horizontal="right"/>
    </xf>
    <xf numFmtId="179" fontId="78" fillId="28" borderId="82" xfId="0" applyNumberFormat="1" applyFont="1" applyFill="1" applyBorder="1" applyAlignment="1">
      <alignment shrinkToFit="1"/>
    </xf>
    <xf numFmtId="179" fontId="78" fillId="28" borderId="200" xfId="0" applyNumberFormat="1" applyFont="1" applyFill="1" applyBorder="1" applyAlignment="1">
      <alignment shrinkToFit="1"/>
    </xf>
    <xf numFmtId="0" fontId="87" fillId="0" borderId="0" xfId="0" applyFont="1" applyFill="1" applyBorder="1" applyAlignment="1"/>
    <xf numFmtId="0" fontId="78" fillId="29" borderId="226" xfId="0" applyFont="1" applyFill="1" applyBorder="1" applyAlignment="1">
      <alignment horizontal="right"/>
    </xf>
    <xf numFmtId="0" fontId="87" fillId="29" borderId="142" xfId="0" applyFont="1" applyFill="1" applyBorder="1" applyAlignment="1"/>
    <xf numFmtId="0" fontId="78" fillId="29" borderId="142" xfId="0" applyFont="1" applyFill="1" applyBorder="1" applyAlignment="1">
      <alignment horizontal="right"/>
    </xf>
    <xf numFmtId="0" fontId="78" fillId="0" borderId="52" xfId="0" applyFont="1" applyFill="1" applyBorder="1" applyAlignment="1">
      <alignment horizontal="center"/>
    </xf>
    <xf numFmtId="38" fontId="78" fillId="29" borderId="23" xfId="0" applyNumberFormat="1" applyFont="1" applyFill="1" applyBorder="1" applyAlignment="1">
      <alignment horizontal="right"/>
    </xf>
    <xf numFmtId="179" fontId="78" fillId="17" borderId="23" xfId="0" applyNumberFormat="1" applyFont="1" applyFill="1" applyBorder="1" applyAlignment="1">
      <alignment shrinkToFit="1"/>
    </xf>
    <xf numFmtId="179" fontId="78" fillId="17" borderId="31" xfId="0" applyNumberFormat="1" applyFont="1" applyFill="1" applyBorder="1" applyAlignment="1">
      <alignment shrinkToFit="1"/>
    </xf>
    <xf numFmtId="0" fontId="87" fillId="21" borderId="142" xfId="0" applyFont="1" applyFill="1" applyBorder="1" applyAlignment="1">
      <alignment horizontal="left" vertical="center"/>
    </xf>
    <xf numFmtId="0" fontId="78" fillId="21" borderId="139" xfId="0" applyFont="1" applyFill="1" applyBorder="1" applyAlignment="1">
      <alignment horizontal="right"/>
    </xf>
    <xf numFmtId="0" fontId="78" fillId="0" borderId="169" xfId="0" applyFont="1" applyFill="1" applyBorder="1" applyAlignment="1">
      <alignment horizontal="center"/>
    </xf>
    <xf numFmtId="38" fontId="78" fillId="21" borderId="120" xfId="0" applyNumberFormat="1" applyFont="1" applyFill="1" applyBorder="1" applyAlignment="1">
      <alignment horizontal="right"/>
    </xf>
    <xf numFmtId="179" fontId="78" fillId="17" borderId="120" xfId="0" applyNumberFormat="1" applyFont="1" applyFill="1" applyBorder="1" applyAlignment="1">
      <alignment shrinkToFit="1"/>
    </xf>
    <xf numFmtId="179" fontId="78" fillId="17" borderId="122" xfId="0" applyNumberFormat="1" applyFont="1" applyFill="1" applyBorder="1" applyAlignment="1">
      <alignment shrinkToFit="1"/>
    </xf>
    <xf numFmtId="179" fontId="78" fillId="28" borderId="120" xfId="0" applyNumberFormat="1" applyFont="1" applyFill="1" applyBorder="1" applyAlignment="1">
      <alignment shrinkToFit="1"/>
    </xf>
    <xf numFmtId="179" fontId="78" fillId="28" borderId="122" xfId="0" applyNumberFormat="1" applyFont="1" applyFill="1" applyBorder="1" applyAlignment="1">
      <alignment shrinkToFit="1"/>
    </xf>
    <xf numFmtId="0" fontId="87" fillId="0" borderId="176" xfId="0" applyFont="1" applyBorder="1" applyAlignment="1">
      <alignment vertical="center"/>
    </xf>
    <xf numFmtId="0" fontId="78" fillId="29" borderId="176" xfId="0" applyFont="1" applyFill="1" applyBorder="1" applyAlignment="1">
      <alignment horizontal="right"/>
    </xf>
    <xf numFmtId="0" fontId="78" fillId="0" borderId="86" xfId="0" applyFont="1" applyFill="1" applyBorder="1" applyAlignment="1">
      <alignment horizontal="center"/>
    </xf>
    <xf numFmtId="38" fontId="78" fillId="29" borderId="85" xfId="0" applyNumberFormat="1" applyFont="1" applyFill="1" applyBorder="1" applyAlignment="1">
      <alignment horizontal="right"/>
    </xf>
    <xf numFmtId="179" fontId="78" fillId="28" borderId="85" xfId="0" applyNumberFormat="1" applyFont="1" applyFill="1" applyBorder="1" applyAlignment="1">
      <alignment shrinkToFit="1"/>
    </xf>
    <xf numFmtId="179" fontId="78" fillId="28" borderId="98" xfId="0" applyNumberFormat="1" applyFont="1" applyFill="1" applyBorder="1" applyAlignment="1">
      <alignment shrinkToFit="1"/>
    </xf>
    <xf numFmtId="0" fontId="78" fillId="29" borderId="174" xfId="0" applyFont="1" applyFill="1" applyBorder="1" applyAlignment="1">
      <alignment horizontal="right"/>
    </xf>
    <xf numFmtId="0" fontId="92" fillId="29" borderId="141" xfId="0" applyFont="1" applyFill="1" applyBorder="1" applyAlignment="1"/>
    <xf numFmtId="0" fontId="78" fillId="29" borderId="141" xfId="0" applyFont="1" applyFill="1" applyBorder="1" applyAlignment="1">
      <alignment horizontal="right"/>
    </xf>
    <xf numFmtId="0" fontId="78" fillId="0" borderId="96" xfId="0" applyFont="1" applyFill="1" applyBorder="1" applyAlignment="1">
      <alignment horizontal="center"/>
    </xf>
    <xf numFmtId="38" fontId="78" fillId="29" borderId="95" xfId="0" applyNumberFormat="1" applyFont="1" applyFill="1" applyBorder="1" applyAlignment="1">
      <alignment horizontal="right"/>
    </xf>
    <xf numFmtId="179" fontId="78" fillId="17" borderId="95" xfId="0" applyNumberFormat="1" applyFont="1" applyFill="1" applyBorder="1" applyAlignment="1">
      <alignment shrinkToFit="1"/>
    </xf>
    <xf numFmtId="179" fontId="78" fillId="17" borderId="99" xfId="0" applyNumberFormat="1" applyFont="1" applyFill="1" applyBorder="1" applyAlignment="1">
      <alignment shrinkToFit="1"/>
    </xf>
    <xf numFmtId="179" fontId="78" fillId="0" borderId="95" xfId="0" applyNumberFormat="1" applyFont="1" applyFill="1" applyBorder="1" applyAlignment="1">
      <alignment shrinkToFit="1"/>
    </xf>
    <xf numFmtId="179" fontId="78" fillId="0" borderId="99" xfId="0" applyNumberFormat="1" applyFont="1" applyFill="1" applyBorder="1" applyAlignment="1">
      <alignment shrinkToFit="1"/>
    </xf>
    <xf numFmtId="0" fontId="92" fillId="29" borderId="176" xfId="0" applyFont="1" applyFill="1" applyBorder="1" applyAlignment="1"/>
    <xf numFmtId="195" fontId="78" fillId="29" borderId="85" xfId="0" applyNumberFormat="1" applyFont="1" applyFill="1" applyBorder="1" applyAlignment="1">
      <alignment horizontal="right"/>
    </xf>
    <xf numFmtId="179" fontId="78" fillId="17" borderId="85" xfId="0" applyNumberFormat="1" applyFont="1" applyFill="1" applyBorder="1" applyAlignment="1">
      <alignment shrinkToFit="1"/>
    </xf>
    <xf numFmtId="179" fontId="78" fillId="17" borderId="98" xfId="0" applyNumberFormat="1" applyFont="1" applyFill="1" applyBorder="1" applyAlignment="1">
      <alignment shrinkToFit="1"/>
    </xf>
    <xf numFmtId="0" fontId="88" fillId="29" borderId="224" xfId="0" applyFont="1" applyFill="1" applyBorder="1" applyAlignment="1">
      <alignment horizontal="left" vertical="center"/>
    </xf>
    <xf numFmtId="0" fontId="93" fillId="29" borderId="225" xfId="0" applyFont="1" applyFill="1" applyBorder="1" applyAlignment="1">
      <alignment horizontal="right" vertical="center"/>
    </xf>
    <xf numFmtId="0" fontId="92" fillId="29" borderId="229" xfId="0" applyFont="1" applyFill="1" applyBorder="1" applyAlignment="1">
      <alignment horizontal="right" vertical="center"/>
    </xf>
    <xf numFmtId="0" fontId="92" fillId="0" borderId="231" xfId="0" applyFont="1" applyBorder="1" applyAlignment="1">
      <alignment vertical="center"/>
    </xf>
    <xf numFmtId="0" fontId="92" fillId="0" borderId="232" xfId="0" applyFont="1" applyBorder="1" applyAlignment="1">
      <alignment vertical="center"/>
    </xf>
    <xf numFmtId="0" fontId="93" fillId="29" borderId="149" xfId="0" applyFont="1" applyFill="1" applyBorder="1" applyAlignment="1">
      <alignment horizontal="center" vertical="center"/>
    </xf>
    <xf numFmtId="0" fontId="93" fillId="21" borderId="82" xfId="0" applyFont="1" applyFill="1" applyBorder="1" applyAlignment="1">
      <alignment horizontal="left" vertical="center" shrinkToFit="1"/>
    </xf>
    <xf numFmtId="0" fontId="93" fillId="29" borderId="82" xfId="0" applyFont="1" applyFill="1" applyBorder="1" applyAlignment="1">
      <alignment horizontal="right" vertical="center"/>
    </xf>
    <xf numFmtId="177" fontId="93" fillId="29" borderId="82" xfId="0" applyNumberFormat="1" applyFont="1" applyFill="1" applyBorder="1" applyAlignment="1">
      <alignment horizontal="right" vertical="center"/>
    </xf>
    <xf numFmtId="177" fontId="93" fillId="17" borderId="82" xfId="0" applyNumberFormat="1" applyFont="1" applyFill="1" applyBorder="1" applyAlignment="1">
      <alignment horizontal="right" vertical="center" shrinkToFit="1"/>
    </xf>
    <xf numFmtId="177" fontId="93" fillId="17" borderId="200" xfId="0" applyNumberFormat="1" applyFont="1" applyFill="1" applyBorder="1" applyAlignment="1">
      <alignment horizontal="right" vertical="center" shrinkToFit="1"/>
    </xf>
    <xf numFmtId="0" fontId="93" fillId="21" borderId="23" xfId="0" applyFont="1" applyFill="1" applyBorder="1" applyAlignment="1">
      <alignment horizontal="left" vertical="center" shrinkToFit="1"/>
    </xf>
    <xf numFmtId="0" fontId="93" fillId="21" borderId="95" xfId="0" applyFont="1" applyFill="1" applyBorder="1" applyAlignment="1">
      <alignment horizontal="left" vertical="center" shrinkToFit="1"/>
    </xf>
    <xf numFmtId="0" fontId="93" fillId="29" borderId="95" xfId="0" applyFont="1" applyFill="1" applyBorder="1" applyAlignment="1">
      <alignment horizontal="right" vertical="center"/>
    </xf>
    <xf numFmtId="177" fontId="93" fillId="29" borderId="95" xfId="0" applyNumberFormat="1" applyFont="1" applyFill="1" applyBorder="1" applyAlignment="1">
      <alignment horizontal="right" vertical="center"/>
    </xf>
    <xf numFmtId="177" fontId="93" fillId="17" borderId="95" xfId="0" applyNumberFormat="1" applyFont="1" applyFill="1" applyBorder="1" applyAlignment="1">
      <alignment horizontal="right" vertical="center" shrinkToFit="1"/>
    </xf>
    <xf numFmtId="177" fontId="93" fillId="17" borderId="99" xfId="0" applyNumberFormat="1" applyFont="1" applyFill="1" applyBorder="1" applyAlignment="1">
      <alignment horizontal="right" vertical="center" shrinkToFit="1"/>
    </xf>
    <xf numFmtId="0" fontId="93" fillId="21" borderId="85" xfId="0" applyFont="1" applyFill="1" applyBorder="1" applyAlignment="1">
      <alignment horizontal="left" vertical="center" shrinkToFit="1"/>
    </xf>
    <xf numFmtId="0" fontId="93" fillId="29" borderId="85" xfId="0" applyFont="1" applyFill="1" applyBorder="1" applyAlignment="1">
      <alignment horizontal="right" vertical="center"/>
    </xf>
    <xf numFmtId="177" fontId="93" fillId="29" borderId="85" xfId="0" applyNumberFormat="1" applyFont="1" applyFill="1" applyBorder="1" applyAlignment="1">
      <alignment horizontal="right" vertical="center"/>
    </xf>
    <xf numFmtId="177" fontId="93" fillId="17" borderId="85" xfId="0" applyNumberFormat="1" applyFont="1" applyFill="1" applyBorder="1" applyAlignment="1">
      <alignment horizontal="right" vertical="center" shrinkToFit="1"/>
    </xf>
    <xf numFmtId="177" fontId="93" fillId="17" borderId="98" xfId="0" applyNumberFormat="1" applyFont="1" applyFill="1" applyBorder="1" applyAlignment="1">
      <alignment horizontal="right" vertical="center" shrinkToFit="1"/>
    </xf>
    <xf numFmtId="9" fontId="93" fillId="29" borderId="82" xfId="0" applyNumberFormat="1" applyFont="1" applyFill="1" applyBorder="1" applyAlignment="1">
      <alignment horizontal="right" vertical="center"/>
    </xf>
    <xf numFmtId="9" fontId="93" fillId="29" borderId="23" xfId="0" applyNumberFormat="1" applyFont="1" applyFill="1" applyBorder="1" applyAlignment="1">
      <alignment horizontal="right" vertical="center"/>
    </xf>
    <xf numFmtId="177" fontId="93" fillId="29" borderId="23" xfId="0" applyNumberFormat="1" applyFont="1" applyFill="1" applyBorder="1" applyAlignment="1">
      <alignment horizontal="right" vertical="center"/>
    </xf>
    <xf numFmtId="177" fontId="93" fillId="28" borderId="23" xfId="0" applyNumberFormat="1" applyFont="1" applyFill="1" applyBorder="1" applyAlignment="1">
      <alignment horizontal="right" vertical="center" shrinkToFit="1"/>
    </xf>
    <xf numFmtId="177" fontId="93" fillId="28" borderId="31" xfId="0" applyNumberFormat="1" applyFont="1" applyFill="1" applyBorder="1" applyAlignment="1">
      <alignment horizontal="right" vertical="center" shrinkToFit="1"/>
    </xf>
    <xf numFmtId="177" fontId="93" fillId="0" borderId="23" xfId="0" applyNumberFormat="1" applyFont="1" applyFill="1" applyBorder="1" applyAlignment="1">
      <alignment horizontal="right" vertical="center" shrinkToFit="1"/>
    </xf>
    <xf numFmtId="177" fontId="93" fillId="0" borderId="31" xfId="0" applyNumberFormat="1" applyFont="1" applyFill="1" applyBorder="1" applyAlignment="1">
      <alignment horizontal="right" vertical="center" shrinkToFit="1"/>
    </xf>
    <xf numFmtId="177" fontId="93" fillId="0" borderId="85" xfId="0" applyNumberFormat="1" applyFont="1" applyFill="1" applyBorder="1" applyAlignment="1">
      <alignment horizontal="right" vertical="center" shrinkToFit="1"/>
    </xf>
    <xf numFmtId="177" fontId="93" fillId="0" borderId="98" xfId="0" applyNumberFormat="1" applyFont="1" applyFill="1" applyBorder="1" applyAlignment="1">
      <alignment horizontal="right" vertical="center" shrinkToFit="1"/>
    </xf>
    <xf numFmtId="177" fontId="93" fillId="28" borderId="82" xfId="0" applyNumberFormat="1" applyFont="1" applyFill="1" applyBorder="1" applyAlignment="1">
      <alignment horizontal="right" vertical="center" shrinkToFit="1"/>
    </xf>
    <xf numFmtId="177" fontId="93" fillId="28" borderId="200" xfId="0" applyNumberFormat="1" applyFont="1" applyFill="1" applyBorder="1" applyAlignment="1">
      <alignment horizontal="right" vertical="center" shrinkToFit="1"/>
    </xf>
    <xf numFmtId="0" fontId="93" fillId="29" borderId="23" xfId="0" applyFont="1" applyFill="1" applyBorder="1" applyAlignment="1">
      <alignment horizontal="right" vertical="center"/>
    </xf>
    <xf numFmtId="177" fontId="93" fillId="28" borderId="85" xfId="0" applyNumberFormat="1" applyFont="1" applyFill="1" applyBorder="1" applyAlignment="1">
      <alignment horizontal="right" vertical="center" shrinkToFit="1"/>
    </xf>
    <xf numFmtId="177" fontId="93" fillId="28" borderId="98" xfId="0" applyNumberFormat="1" applyFont="1" applyFill="1" applyBorder="1" applyAlignment="1">
      <alignment horizontal="right" vertical="center" shrinkToFit="1"/>
    </xf>
    <xf numFmtId="0" fontId="93" fillId="29" borderId="120" xfId="0" applyFont="1" applyFill="1" applyBorder="1" applyAlignment="1">
      <alignment horizontal="left" vertical="center" shrinkToFit="1"/>
    </xf>
    <xf numFmtId="0" fontId="93" fillId="29" borderId="120" xfId="0" applyFont="1" applyFill="1" applyBorder="1" applyAlignment="1">
      <alignment horizontal="right" vertical="center"/>
    </xf>
    <xf numFmtId="177" fontId="93" fillId="29" borderId="120" xfId="0" applyNumberFormat="1" applyFont="1" applyFill="1" applyBorder="1" applyAlignment="1">
      <alignment horizontal="right" vertical="center"/>
    </xf>
    <xf numFmtId="177" fontId="93" fillId="28" borderId="120" xfId="0" applyNumberFormat="1" applyFont="1" applyFill="1" applyBorder="1" applyAlignment="1">
      <alignment horizontal="right" vertical="center" shrinkToFit="1"/>
    </xf>
    <xf numFmtId="177" fontId="93" fillId="28" borderId="122" xfId="0" applyNumberFormat="1" applyFont="1" applyFill="1" applyBorder="1" applyAlignment="1">
      <alignment horizontal="right" vertical="center" shrinkToFit="1"/>
    </xf>
    <xf numFmtId="38" fontId="78" fillId="31" borderId="23" xfId="0" applyNumberFormat="1" applyFont="1" applyFill="1" applyBorder="1" applyAlignment="1">
      <alignment horizontal="right" shrinkToFit="1"/>
    </xf>
    <xf numFmtId="38" fontId="78" fillId="31" borderId="31" xfId="0" applyNumberFormat="1" applyFont="1" applyFill="1" applyBorder="1" applyAlignment="1">
      <alignment horizontal="right" shrinkToFit="1"/>
    </xf>
    <xf numFmtId="0" fontId="93" fillId="29" borderId="261" xfId="0" applyFont="1" applyFill="1" applyBorder="1" applyAlignment="1">
      <alignment horizontal="center" vertical="center"/>
    </xf>
    <xf numFmtId="0" fontId="93" fillId="0" borderId="151" xfId="0" applyFont="1" applyFill="1" applyBorder="1" applyAlignment="1">
      <alignment horizontal="center" vertical="center" wrapText="1"/>
    </xf>
    <xf numFmtId="0" fontId="94" fillId="0" borderId="151" xfId="0" applyFont="1" applyFill="1" applyBorder="1" applyAlignment="1">
      <alignment horizontal="left" vertical="center"/>
    </xf>
    <xf numFmtId="38" fontId="93" fillId="0" borderId="151" xfId="0" applyNumberFormat="1" applyFont="1" applyFill="1" applyBorder="1" applyAlignment="1">
      <alignment horizontal="right" vertical="center"/>
    </xf>
    <xf numFmtId="38" fontId="93" fillId="0" borderId="151" xfId="0" applyNumberFormat="1" applyFont="1" applyFill="1" applyBorder="1" applyAlignment="1">
      <alignment horizontal="right" vertical="center" shrinkToFit="1"/>
    </xf>
    <xf numFmtId="38" fontId="93" fillId="0" borderId="152" xfId="0" applyNumberFormat="1" applyFont="1" applyFill="1" applyBorder="1" applyAlignment="1">
      <alignment horizontal="right" vertical="center" shrinkToFit="1"/>
    </xf>
    <xf numFmtId="0" fontId="93" fillId="29" borderId="231" xfId="0" quotePrefix="1" applyFont="1" applyFill="1" applyBorder="1" applyAlignment="1">
      <alignment horizontal="center" vertical="center"/>
    </xf>
    <xf numFmtId="0" fontId="93" fillId="29" borderId="233" xfId="0" applyFont="1" applyFill="1" applyBorder="1" applyAlignment="1">
      <alignment horizontal="left" vertical="center" shrinkToFit="1"/>
    </xf>
    <xf numFmtId="0" fontId="93" fillId="0" borderId="23" xfId="0" applyNumberFormat="1" applyFont="1" applyFill="1" applyBorder="1" applyAlignment="1">
      <alignment horizontal="right" vertical="center" shrinkToFit="1"/>
    </xf>
    <xf numFmtId="10" fontId="93" fillId="0" borderId="23" xfId="0" applyNumberFormat="1" applyFont="1" applyFill="1" applyBorder="1" applyAlignment="1">
      <alignment horizontal="right" vertical="center" shrinkToFit="1"/>
    </xf>
    <xf numFmtId="177" fontId="93" fillId="21" borderId="23" xfId="0" applyNumberFormat="1" applyFont="1" applyFill="1" applyBorder="1" applyAlignment="1">
      <alignment horizontal="right" vertical="center"/>
    </xf>
    <xf numFmtId="177" fontId="93" fillId="17" borderId="23" xfId="0" applyNumberFormat="1" applyFont="1" applyFill="1" applyBorder="1" applyAlignment="1">
      <alignment horizontal="right" vertical="center" shrinkToFit="1"/>
    </xf>
    <xf numFmtId="177" fontId="93" fillId="17" borderId="31" xfId="0" applyNumberFormat="1" applyFont="1" applyFill="1" applyBorder="1" applyAlignment="1">
      <alignment horizontal="right" vertical="center" shrinkToFit="1"/>
    </xf>
    <xf numFmtId="0" fontId="93" fillId="29" borderId="23" xfId="0" quotePrefix="1" applyFont="1" applyFill="1" applyBorder="1" applyAlignment="1">
      <alignment horizontal="center" vertical="center"/>
    </xf>
    <xf numFmtId="0" fontId="93" fillId="29" borderId="140" xfId="0" applyFont="1" applyFill="1" applyBorder="1" applyAlignment="1">
      <alignment horizontal="left" vertical="center" shrinkToFit="1"/>
    </xf>
    <xf numFmtId="0" fontId="81" fillId="0" borderId="121" xfId="0" applyFont="1" applyBorder="1" applyAlignment="1">
      <alignment horizontal="center" vertical="center" shrinkToFit="1"/>
    </xf>
    <xf numFmtId="0" fontId="93" fillId="29" borderId="120" xfId="0" applyFont="1" applyFill="1" applyBorder="1" applyAlignment="1">
      <alignment horizontal="center" vertical="center" wrapText="1" shrinkToFit="1"/>
    </xf>
    <xf numFmtId="0" fontId="92" fillId="29" borderId="140" xfId="0" applyFont="1" applyFill="1" applyBorder="1" applyAlignment="1">
      <alignment horizontal="left" vertical="center"/>
    </xf>
    <xf numFmtId="0" fontId="93" fillId="0" borderId="120" xfId="0" applyNumberFormat="1" applyFont="1" applyFill="1" applyBorder="1" applyAlignment="1">
      <alignment horizontal="right" vertical="center" shrinkToFit="1"/>
    </xf>
    <xf numFmtId="10" fontId="93" fillId="0" borderId="120" xfId="0" applyNumberFormat="1" applyFont="1" applyFill="1" applyBorder="1" applyAlignment="1">
      <alignment horizontal="right" vertical="center" shrinkToFit="1"/>
    </xf>
    <xf numFmtId="177" fontId="93" fillId="0" borderId="120" xfId="0" applyNumberFormat="1" applyFont="1" applyFill="1" applyBorder="1" applyAlignment="1">
      <alignment horizontal="right" vertical="center"/>
    </xf>
    <xf numFmtId="38" fontId="78" fillId="17" borderId="23" xfId="0" applyNumberFormat="1" applyFont="1" applyFill="1" applyBorder="1" applyAlignment="1">
      <alignment horizontal="right" shrinkToFit="1"/>
    </xf>
    <xf numFmtId="38" fontId="78" fillId="17" borderId="31" xfId="0" applyNumberFormat="1" applyFont="1" applyFill="1" applyBorder="1" applyAlignment="1">
      <alignment horizontal="right" shrinkToFit="1"/>
    </xf>
    <xf numFmtId="0" fontId="93" fillId="0" borderId="226" xfId="0" applyFont="1" applyFill="1" applyBorder="1" applyAlignment="1">
      <alignment horizontal="right" vertical="center"/>
    </xf>
    <xf numFmtId="0" fontId="93" fillId="0" borderId="23" xfId="0" applyFont="1" applyFill="1" applyBorder="1" applyAlignment="1">
      <alignment horizontal="left" vertical="center"/>
    </xf>
    <xf numFmtId="0" fontId="93" fillId="0" borderId="23" xfId="0" applyFont="1" applyFill="1" applyBorder="1" applyAlignment="1">
      <alignment horizontal="right" vertical="center"/>
    </xf>
    <xf numFmtId="177" fontId="93" fillId="0" borderId="23" xfId="0" applyNumberFormat="1" applyFont="1" applyFill="1" applyBorder="1" applyAlignment="1">
      <alignment horizontal="right" vertical="center"/>
    </xf>
    <xf numFmtId="0" fontId="93" fillId="0" borderId="52" xfId="0" applyFont="1" applyFill="1" applyBorder="1" applyAlignment="1">
      <alignment horizontal="left" vertical="center"/>
    </xf>
    <xf numFmtId="0" fontId="92" fillId="0" borderId="140" xfId="0" applyFont="1" applyBorder="1" applyAlignment="1">
      <alignment horizontal="left" vertical="center"/>
    </xf>
    <xf numFmtId="0" fontId="93" fillId="0" borderId="85" xfId="0" applyFont="1" applyFill="1" applyBorder="1" applyAlignment="1">
      <alignment horizontal="left" vertical="center"/>
    </xf>
    <xf numFmtId="0" fontId="93" fillId="0" borderId="85" xfId="0" applyFont="1" applyFill="1" applyBorder="1" applyAlignment="1">
      <alignment horizontal="right" vertical="center"/>
    </xf>
    <xf numFmtId="177" fontId="93" fillId="0" borderId="85" xfId="0" applyNumberFormat="1" applyFont="1" applyFill="1" applyBorder="1" applyAlignment="1">
      <alignment horizontal="right" vertical="center"/>
    </xf>
    <xf numFmtId="0" fontId="93" fillId="29" borderId="301" xfId="0" applyFont="1" applyFill="1" applyBorder="1" applyAlignment="1">
      <alignment horizontal="center" vertical="center"/>
    </xf>
    <xf numFmtId="0" fontId="78" fillId="29" borderId="312" xfId="0" applyFont="1" applyFill="1" applyBorder="1" applyAlignment="1">
      <alignment horizontal="center" vertical="center" textRotation="255"/>
    </xf>
    <xf numFmtId="0" fontId="92" fillId="21" borderId="313" xfId="0" applyFont="1" applyFill="1" applyBorder="1" applyAlignment="1">
      <alignment horizontal="left" vertical="center" shrinkToFit="1"/>
    </xf>
    <xf numFmtId="0" fontId="93" fillId="21" borderId="263" xfId="0" applyFont="1" applyFill="1" applyBorder="1" applyAlignment="1">
      <alignment horizontal="left" vertical="center" shrinkToFit="1"/>
    </xf>
    <xf numFmtId="0" fontId="93" fillId="29" borderId="263" xfId="0" applyFont="1" applyFill="1" applyBorder="1" applyAlignment="1">
      <alignment horizontal="right" vertical="center"/>
    </xf>
    <xf numFmtId="177" fontId="93" fillId="29" borderId="263" xfId="0" applyNumberFormat="1" applyFont="1" applyFill="1" applyBorder="1" applyAlignment="1">
      <alignment horizontal="right" vertical="center"/>
    </xf>
    <xf numFmtId="177" fontId="93" fillId="17" borderId="263" xfId="0" applyNumberFormat="1" applyFont="1" applyFill="1" applyBorder="1" applyAlignment="1">
      <alignment horizontal="right" vertical="center" shrinkToFit="1"/>
    </xf>
    <xf numFmtId="177" fontId="93" fillId="17" borderId="314" xfId="0" applyNumberFormat="1" applyFont="1" applyFill="1" applyBorder="1" applyAlignment="1">
      <alignment horizontal="right" vertical="center" shrinkToFit="1"/>
    </xf>
    <xf numFmtId="0" fontId="93" fillId="29" borderId="306" xfId="0" applyFont="1" applyFill="1" applyBorder="1" applyAlignment="1">
      <alignment horizontal="center" vertical="center"/>
    </xf>
    <xf numFmtId="0" fontId="78" fillId="29" borderId="280" xfId="0" applyFont="1" applyFill="1" applyBorder="1" applyAlignment="1">
      <alignment horizontal="center" vertical="center" textRotation="255"/>
    </xf>
    <xf numFmtId="0" fontId="93" fillId="21" borderId="270" xfId="0" applyFont="1" applyFill="1" applyBorder="1" applyAlignment="1">
      <alignment horizontal="left" vertical="center" shrinkToFit="1"/>
    </xf>
    <xf numFmtId="0" fontId="93" fillId="21" borderId="271" xfId="0" applyFont="1" applyFill="1" applyBorder="1" applyAlignment="1">
      <alignment horizontal="left" vertical="center" shrinkToFit="1"/>
    </xf>
    <xf numFmtId="0" fontId="93" fillId="29" borderId="271" xfId="0" applyFont="1" applyFill="1" applyBorder="1" applyAlignment="1">
      <alignment horizontal="right" vertical="center"/>
    </xf>
    <xf numFmtId="177" fontId="93" fillId="29" borderId="271" xfId="0" applyNumberFormat="1" applyFont="1" applyFill="1" applyBorder="1" applyAlignment="1">
      <alignment horizontal="right" vertical="center"/>
    </xf>
    <xf numFmtId="177" fontId="93" fillId="17" borderId="271" xfId="0" applyNumberFormat="1" applyFont="1" applyFill="1" applyBorder="1" applyAlignment="1">
      <alignment horizontal="right" vertical="center" shrinkToFit="1"/>
    </xf>
    <xf numFmtId="177" fontId="93" fillId="17" borderId="307" xfId="0" applyNumberFormat="1" applyFont="1" applyFill="1" applyBorder="1" applyAlignment="1">
      <alignment horizontal="right" vertical="center" shrinkToFit="1"/>
    </xf>
    <xf numFmtId="0" fontId="93" fillId="0" borderId="89" xfId="0" applyFont="1" applyFill="1" applyBorder="1" applyAlignment="1">
      <alignment horizontal="center" vertical="center" wrapText="1"/>
    </xf>
    <xf numFmtId="0" fontId="94" fillId="0" borderId="89" xfId="0" applyFont="1" applyFill="1" applyBorder="1" applyAlignment="1">
      <alignment horizontal="left" vertical="center"/>
    </xf>
    <xf numFmtId="38" fontId="93" fillId="0" borderId="89" xfId="0" applyNumberFormat="1" applyFont="1" applyFill="1" applyBorder="1" applyAlignment="1">
      <alignment horizontal="right" vertical="center"/>
    </xf>
    <xf numFmtId="38" fontId="93" fillId="0" borderId="89" xfId="0" applyNumberFormat="1" applyFont="1" applyFill="1" applyBorder="1" applyAlignment="1">
      <alignment horizontal="right" vertical="center" shrinkToFit="1"/>
    </xf>
    <xf numFmtId="38" fontId="93" fillId="0" borderId="100" xfId="0" applyNumberFormat="1" applyFont="1" applyFill="1" applyBorder="1" applyAlignment="1">
      <alignment horizontal="right" vertical="center" shrinkToFit="1"/>
    </xf>
    <xf numFmtId="38" fontId="78" fillId="0" borderId="23" xfId="0" applyNumberFormat="1" applyFont="1" applyFill="1" applyBorder="1" applyAlignment="1">
      <alignment horizontal="right" shrinkToFit="1"/>
    </xf>
    <xf numFmtId="38" fontId="78" fillId="0" borderId="31" xfId="0" applyNumberFormat="1" applyFont="1" applyFill="1" applyBorder="1" applyAlignment="1">
      <alignment horizontal="right" shrinkToFit="1"/>
    </xf>
    <xf numFmtId="0" fontId="89" fillId="0" borderId="224" xfId="0" applyFont="1" applyBorder="1" applyAlignment="1">
      <alignment vertical="center"/>
    </xf>
    <xf numFmtId="0" fontId="92" fillId="0" borderId="308" xfId="0" applyFont="1" applyBorder="1" applyAlignment="1">
      <alignment vertical="center"/>
    </xf>
    <xf numFmtId="0" fontId="92" fillId="0" borderId="229" xfId="0" applyFont="1" applyBorder="1" applyAlignment="1">
      <alignment vertical="center"/>
    </xf>
    <xf numFmtId="0" fontId="92" fillId="0" borderId="151" xfId="0" applyFont="1" applyBorder="1" applyAlignment="1">
      <alignment vertical="center"/>
    </xf>
    <xf numFmtId="0" fontId="92" fillId="0" borderId="151" xfId="0" applyFont="1" applyFill="1" applyBorder="1" applyAlignment="1">
      <alignment horizontal="right" vertical="center"/>
    </xf>
    <xf numFmtId="177" fontId="92" fillId="0" borderId="231" xfId="0" applyNumberFormat="1" applyFont="1" applyBorder="1" applyAlignment="1">
      <alignment vertical="center"/>
    </xf>
    <xf numFmtId="177" fontId="92" fillId="17" borderId="151" xfId="0" applyNumberFormat="1" applyFont="1" applyFill="1" applyBorder="1" applyAlignment="1">
      <alignment vertical="center" shrinkToFit="1"/>
    </xf>
    <xf numFmtId="177" fontId="92" fillId="17" borderId="152" xfId="0" applyNumberFormat="1" applyFont="1" applyFill="1" applyBorder="1" applyAlignment="1">
      <alignment vertical="center" shrinkToFit="1"/>
    </xf>
    <xf numFmtId="0" fontId="92" fillId="0" borderId="226" xfId="0" applyFont="1" applyBorder="1" applyAlignment="1">
      <alignment vertical="center"/>
    </xf>
    <xf numFmtId="0" fontId="93" fillId="0" borderId="231" xfId="0" applyNumberFormat="1" applyFont="1" applyFill="1" applyBorder="1" applyAlignment="1">
      <alignment horizontal="right" vertical="center" shrinkToFit="1"/>
    </xf>
    <xf numFmtId="10" fontId="93" fillId="0" borderId="231" xfId="0" quotePrefix="1" applyNumberFormat="1" applyFont="1" applyFill="1" applyBorder="1" applyAlignment="1">
      <alignment horizontal="right" vertical="center" shrinkToFit="1"/>
    </xf>
    <xf numFmtId="177" fontId="92" fillId="0" borderId="231" xfId="0" applyNumberFormat="1" applyFont="1" applyBorder="1" applyAlignment="1">
      <alignment vertical="center" shrinkToFit="1"/>
    </xf>
    <xf numFmtId="177" fontId="92" fillId="0" borderId="232" xfId="0" applyNumberFormat="1" applyFont="1" applyBorder="1" applyAlignment="1">
      <alignment vertical="center" shrinkToFit="1"/>
    </xf>
    <xf numFmtId="0" fontId="93" fillId="0" borderId="83" xfId="0" applyFont="1" applyFill="1" applyBorder="1" applyAlignment="1">
      <alignment vertical="center" shrinkToFit="1"/>
    </xf>
    <xf numFmtId="0" fontId="93" fillId="0" borderId="233" xfId="0" applyFont="1" applyFill="1" applyBorder="1" applyAlignment="1">
      <alignment vertical="center" shrinkToFit="1"/>
    </xf>
    <xf numFmtId="0" fontId="93" fillId="0" borderId="82" xfId="0" applyNumberFormat="1" applyFont="1" applyFill="1" applyBorder="1" applyAlignment="1">
      <alignment horizontal="right" vertical="center" shrinkToFit="1"/>
    </xf>
    <xf numFmtId="10" fontId="93" fillId="0" borderId="82" xfId="0" quotePrefix="1" applyNumberFormat="1" applyFont="1" applyFill="1" applyBorder="1" applyAlignment="1">
      <alignment horizontal="right" vertical="center" shrinkToFit="1"/>
    </xf>
    <xf numFmtId="177" fontId="92" fillId="0" borderId="82" xfId="0" applyNumberFormat="1" applyFont="1" applyBorder="1" applyAlignment="1">
      <alignment vertical="center"/>
    </xf>
    <xf numFmtId="177" fontId="92" fillId="17" borderId="82" xfId="0" applyNumberFormat="1" applyFont="1" applyFill="1" applyBorder="1" applyAlignment="1">
      <alignment vertical="center" shrinkToFit="1"/>
    </xf>
    <xf numFmtId="177" fontId="92" fillId="17" borderId="200" xfId="0" applyNumberFormat="1" applyFont="1" applyFill="1" applyBorder="1" applyAlignment="1">
      <alignment vertical="center" shrinkToFit="1"/>
    </xf>
    <xf numFmtId="0" fontId="93" fillId="0" borderId="52" xfId="0" applyFont="1" applyFill="1" applyBorder="1" applyAlignment="1">
      <alignment vertical="center" shrinkToFit="1"/>
    </xf>
    <xf numFmtId="0" fontId="93" fillId="0" borderId="140" xfId="0" applyFont="1" applyFill="1" applyBorder="1" applyAlignment="1">
      <alignment vertical="center" shrinkToFit="1"/>
    </xf>
    <xf numFmtId="10" fontId="93" fillId="0" borderId="23" xfId="0" quotePrefix="1" applyNumberFormat="1" applyFont="1" applyFill="1" applyBorder="1" applyAlignment="1">
      <alignment horizontal="right" vertical="center" shrinkToFit="1"/>
    </xf>
    <xf numFmtId="177" fontId="92" fillId="0" borderId="23" xfId="0" applyNumberFormat="1" applyFont="1" applyBorder="1" applyAlignment="1">
      <alignment vertical="center"/>
    </xf>
    <xf numFmtId="177" fontId="92" fillId="0" borderId="23" xfId="0" applyNumberFormat="1" applyFont="1" applyBorder="1" applyAlignment="1">
      <alignment vertical="center" shrinkToFit="1"/>
    </xf>
    <xf numFmtId="177" fontId="92" fillId="0" borderId="31" xfId="0" applyNumberFormat="1" applyFont="1" applyBorder="1" applyAlignment="1">
      <alignment vertical="center" shrinkToFit="1"/>
    </xf>
    <xf numFmtId="0" fontId="93" fillId="0" borderId="85" xfId="0" applyNumberFormat="1" applyFont="1" applyFill="1" applyBorder="1" applyAlignment="1">
      <alignment horizontal="right" vertical="center" shrinkToFit="1"/>
    </xf>
    <xf numFmtId="10" fontId="93" fillId="0" borderId="85" xfId="0" quotePrefix="1" applyNumberFormat="1" applyFont="1" applyFill="1" applyBorder="1" applyAlignment="1">
      <alignment horizontal="right" vertical="center" shrinkToFit="1"/>
    </xf>
    <xf numFmtId="177" fontId="92" fillId="0" borderId="85" xfId="0" applyNumberFormat="1" applyFont="1" applyBorder="1" applyAlignment="1">
      <alignment vertical="center"/>
    </xf>
    <xf numFmtId="177" fontId="92" fillId="17" borderId="85" xfId="0" applyNumberFormat="1" applyFont="1" applyFill="1" applyBorder="1" applyAlignment="1">
      <alignment vertical="center" shrinkToFit="1"/>
    </xf>
    <xf numFmtId="177" fontId="92" fillId="17" borderId="98" xfId="0" applyNumberFormat="1" applyFont="1" applyFill="1" applyBorder="1" applyAlignment="1">
      <alignment vertical="center" shrinkToFit="1"/>
    </xf>
    <xf numFmtId="0" fontId="89" fillId="0" borderId="236" xfId="0" applyFont="1" applyBorder="1" applyAlignment="1">
      <alignment vertical="center"/>
    </xf>
    <xf numFmtId="0" fontId="96" fillId="0" borderId="237" xfId="0" applyFont="1" applyFill="1" applyBorder="1" applyAlignment="1">
      <alignment vertical="center" shrinkToFit="1"/>
    </xf>
    <xf numFmtId="0" fontId="93" fillId="0" borderId="237" xfId="0" applyFont="1" applyFill="1" applyBorder="1" applyAlignment="1">
      <alignment vertical="center" shrinkToFit="1"/>
    </xf>
    <xf numFmtId="192" fontId="93" fillId="0" borderId="238" xfId="0" applyNumberFormat="1" applyFont="1" applyFill="1" applyBorder="1" applyAlignment="1">
      <alignment horizontal="right" vertical="center" shrinkToFit="1"/>
    </xf>
    <xf numFmtId="10" fontId="93" fillId="0" borderId="238" xfId="0" quotePrefix="1" applyNumberFormat="1" applyFont="1" applyFill="1" applyBorder="1" applyAlignment="1">
      <alignment horizontal="right" vertical="center" shrinkToFit="1"/>
    </xf>
    <xf numFmtId="177" fontId="92" fillId="0" borderId="238" xfId="0" applyNumberFormat="1" applyFont="1" applyBorder="1" applyAlignment="1">
      <alignment vertical="center"/>
    </xf>
    <xf numFmtId="177" fontId="92" fillId="17" borderId="238" xfId="0" applyNumberFormat="1" applyFont="1" applyFill="1" applyBorder="1" applyAlignment="1">
      <alignment vertical="center" shrinkToFit="1"/>
    </xf>
    <xf numFmtId="177" fontId="92" fillId="17" borderId="239" xfId="0" applyNumberFormat="1" applyFont="1" applyFill="1" applyBorder="1" applyAlignment="1">
      <alignment vertical="center" shrinkToFit="1"/>
    </xf>
    <xf numFmtId="0" fontId="89" fillId="0" borderId="281" xfId="0" applyFont="1" applyBorder="1" applyAlignment="1">
      <alignment vertical="center"/>
    </xf>
    <xf numFmtId="0" fontId="92" fillId="0" borderId="282" xfId="0" applyFont="1" applyBorder="1" applyAlignment="1">
      <alignment vertical="center"/>
    </xf>
    <xf numFmtId="0" fontId="97" fillId="0" borderId="282" xfId="0" applyFont="1" applyBorder="1" applyAlignment="1">
      <alignment horizontal="right" vertical="center"/>
    </xf>
    <xf numFmtId="177" fontId="92" fillId="0" borderId="242" xfId="0" applyNumberFormat="1" applyFont="1" applyBorder="1" applyAlignment="1">
      <alignment vertical="center"/>
    </xf>
    <xf numFmtId="177" fontId="92" fillId="0" borderId="242" xfId="0" applyNumberFormat="1" applyFont="1" applyBorder="1" applyAlignment="1">
      <alignment vertical="center" shrinkToFit="1"/>
    </xf>
    <xf numFmtId="177" fontId="92" fillId="0" borderId="297" xfId="0" applyNumberFormat="1" applyFont="1" applyBorder="1" applyAlignment="1">
      <alignment vertical="center" shrinkToFit="1"/>
    </xf>
    <xf numFmtId="0" fontId="98" fillId="0" borderId="226" xfId="0" applyFont="1" applyBorder="1" applyAlignment="1">
      <alignment vertical="center"/>
    </xf>
    <xf numFmtId="0" fontId="92" fillId="0" borderId="82" xfId="0" applyFont="1" applyBorder="1" applyAlignment="1">
      <alignment vertical="center"/>
    </xf>
    <xf numFmtId="0" fontId="92" fillId="0" borderId="284" xfId="0" applyFont="1" applyBorder="1" applyAlignment="1">
      <alignment vertical="center"/>
    </xf>
    <xf numFmtId="0" fontId="92" fillId="0" borderId="85" xfId="0" applyFont="1" applyBorder="1" applyAlignment="1">
      <alignment vertical="center"/>
    </xf>
    <xf numFmtId="177" fontId="92" fillId="0" borderId="85" xfId="0" applyNumberFormat="1" applyFont="1" applyBorder="1" applyAlignment="1">
      <alignment vertical="center" shrinkToFit="1"/>
    </xf>
    <xf numFmtId="177" fontId="92" fillId="0" borderId="98" xfId="0" applyNumberFormat="1" applyFont="1" applyBorder="1" applyAlignment="1">
      <alignment vertical="center" shrinkToFit="1"/>
    </xf>
    <xf numFmtId="177" fontId="92" fillId="0" borderId="243" xfId="0" applyNumberFormat="1" applyFont="1" applyBorder="1" applyAlignment="1">
      <alignment vertical="center" shrinkToFit="1"/>
    </xf>
    <xf numFmtId="177" fontId="92" fillId="0" borderId="82" xfId="0" applyNumberFormat="1" applyFont="1" applyBorder="1" applyAlignment="1">
      <alignment vertical="center" shrinkToFit="1"/>
    </xf>
    <xf numFmtId="177" fontId="92" fillId="0" borderId="200" xfId="0" applyNumberFormat="1" applyFont="1" applyBorder="1" applyAlignment="1">
      <alignment vertical="center" shrinkToFit="1"/>
    </xf>
    <xf numFmtId="0" fontId="79" fillId="0" borderId="0" xfId="0" applyFont="1" applyFill="1" applyBorder="1" applyAlignment="1">
      <alignment horizontal="left" vertical="center"/>
    </xf>
    <xf numFmtId="0" fontId="88" fillId="0" borderId="0" xfId="0" applyFont="1" applyFill="1" applyBorder="1" applyAlignment="1">
      <alignment horizontal="left" vertical="center"/>
    </xf>
    <xf numFmtId="0" fontId="82" fillId="0" borderId="0" xfId="0" applyFont="1" applyFill="1" applyBorder="1" applyAlignment="1">
      <alignment horizontal="right" vertical="center" shrinkToFit="1"/>
    </xf>
    <xf numFmtId="0" fontId="99" fillId="0" borderId="0" xfId="0" applyFont="1" applyFill="1" applyBorder="1" applyAlignment="1">
      <alignment horizontal="distributed" vertical="center"/>
    </xf>
    <xf numFmtId="0" fontId="90" fillId="0" borderId="0" xfId="0" applyFont="1" applyFill="1" applyBorder="1" applyAlignment="1">
      <alignment horizontal="center" vertical="center"/>
    </xf>
    <xf numFmtId="0" fontId="78" fillId="0" borderId="0" xfId="0" applyFont="1" applyFill="1" applyBorder="1" applyAlignment="1">
      <alignment horizontal="center" vertical="center" shrinkToFit="1"/>
    </xf>
    <xf numFmtId="38" fontId="78" fillId="0" borderId="259" xfId="0" applyNumberFormat="1" applyFont="1" applyFill="1" applyBorder="1" applyAlignment="1">
      <alignment horizontal="center" vertical="center" shrinkToFit="1"/>
    </xf>
    <xf numFmtId="0" fontId="87" fillId="29" borderId="224" xfId="0" applyFont="1" applyFill="1" applyBorder="1" applyAlignment="1">
      <alignment horizontal="right" vertical="center"/>
    </xf>
    <xf numFmtId="0" fontId="87" fillId="29" borderId="225" xfId="0" applyFont="1" applyFill="1" applyBorder="1" applyAlignment="1">
      <alignment horizontal="right" vertical="center"/>
    </xf>
    <xf numFmtId="0" fontId="87" fillId="0" borderId="225" xfId="0" applyFont="1" applyFill="1" applyBorder="1" applyAlignment="1">
      <alignment horizontal="distributed" vertical="center"/>
    </xf>
    <xf numFmtId="0" fontId="100" fillId="0" borderId="225" xfId="0" applyFont="1" applyFill="1" applyBorder="1" applyAlignment="1">
      <alignment horizontal="center" vertical="center"/>
    </xf>
    <xf numFmtId="0" fontId="87" fillId="0" borderId="231" xfId="0" applyFont="1" applyFill="1" applyBorder="1" applyAlignment="1">
      <alignment horizontal="center" vertical="center"/>
    </xf>
    <xf numFmtId="0" fontId="87" fillId="0" borderId="231" xfId="0" applyFont="1" applyFill="1" applyBorder="1" applyAlignment="1">
      <alignment horizontal="right" vertical="center"/>
    </xf>
    <xf numFmtId="191" fontId="87" fillId="11" borderId="231" xfId="0" applyNumberFormat="1" applyFont="1" applyFill="1" applyBorder="1" applyAlignment="1">
      <alignment horizontal="center" shrinkToFit="1"/>
    </xf>
    <xf numFmtId="191" fontId="87" fillId="11" borderId="231" xfId="0" applyNumberFormat="1" applyFont="1" applyFill="1" applyBorder="1" applyAlignment="1">
      <alignment horizontal="center" vertical="center" shrinkToFit="1"/>
    </xf>
    <xf numFmtId="191" fontId="87" fillId="11" borderId="200" xfId="0" applyNumberFormat="1" applyFont="1" applyFill="1" applyBorder="1" applyAlignment="1">
      <alignment horizontal="center" vertical="center" shrinkToFit="1"/>
    </xf>
    <xf numFmtId="0" fontId="87" fillId="29" borderId="284" xfId="0" applyFont="1" applyFill="1" applyBorder="1" applyAlignment="1">
      <alignment horizontal="right" vertical="center"/>
    </xf>
    <xf numFmtId="0" fontId="87" fillId="29" borderId="259" xfId="0" applyFont="1" applyFill="1" applyBorder="1" applyAlignment="1">
      <alignment horizontal="right" vertical="center"/>
    </xf>
    <xf numFmtId="0" fontId="87" fillId="0" borderId="142" xfId="0" applyFont="1" applyFill="1" applyBorder="1" applyAlignment="1">
      <alignment horizontal="distributed" vertical="center"/>
    </xf>
    <xf numFmtId="0" fontId="100" fillId="0" borderId="142" xfId="0" applyFont="1" applyFill="1" applyBorder="1" applyAlignment="1">
      <alignment horizontal="center" vertical="center"/>
    </xf>
    <xf numFmtId="0" fontId="87" fillId="0" borderId="23" xfId="0" applyFont="1" applyFill="1" applyBorder="1" applyAlignment="1">
      <alignment horizontal="center" vertical="center"/>
    </xf>
    <xf numFmtId="0" fontId="87" fillId="0" borderId="52" xfId="0" applyFont="1" applyFill="1" applyBorder="1" applyAlignment="1">
      <alignment horizontal="right" vertical="center"/>
    </xf>
    <xf numFmtId="0" fontId="78" fillId="36" borderId="23" xfId="0" applyFont="1" applyFill="1" applyBorder="1" applyAlignment="1">
      <alignment horizontal="center" shrinkToFit="1"/>
    </xf>
    <xf numFmtId="0" fontId="78" fillId="36" borderId="98" xfId="0" applyFont="1" applyFill="1" applyBorder="1" applyAlignment="1">
      <alignment horizontal="center" shrinkToFit="1"/>
    </xf>
    <xf numFmtId="0" fontId="78" fillId="29" borderId="224" xfId="0" applyFont="1" applyFill="1" applyBorder="1" applyAlignment="1">
      <alignment horizontal="right" vertical="center"/>
    </xf>
    <xf numFmtId="0" fontId="78" fillId="29" borderId="225" xfId="0" applyFont="1" applyFill="1" applyBorder="1" applyAlignment="1">
      <alignment horizontal="right" vertical="center"/>
    </xf>
    <xf numFmtId="0" fontId="78" fillId="11" borderId="231" xfId="0" applyFont="1" applyFill="1" applyBorder="1" applyAlignment="1">
      <alignment horizontal="center" vertical="center"/>
    </xf>
    <xf numFmtId="0" fontId="78" fillId="29" borderId="231" xfId="0" applyFont="1" applyFill="1" applyBorder="1" applyAlignment="1">
      <alignment horizontal="center" vertical="center"/>
    </xf>
    <xf numFmtId="0" fontId="78" fillId="29" borderId="231" xfId="0" applyFont="1" applyFill="1" applyBorder="1" applyAlignment="1">
      <alignment horizontal="center" shrinkToFit="1"/>
    </xf>
    <xf numFmtId="0" fontId="78" fillId="29" borderId="231" xfId="0" applyFont="1" applyFill="1" applyBorder="1" applyAlignment="1">
      <alignment horizontal="center" vertical="center" shrinkToFit="1"/>
    </xf>
    <xf numFmtId="0" fontId="78" fillId="29" borderId="232" xfId="0" applyFont="1" applyFill="1" applyBorder="1" applyAlignment="1">
      <alignment horizontal="center" vertical="center" shrinkToFit="1"/>
    </xf>
    <xf numFmtId="0" fontId="78" fillId="29" borderId="141" xfId="0" applyFont="1" applyFill="1" applyBorder="1" applyAlignment="1">
      <alignment horizontal="right" vertical="center"/>
    </xf>
    <xf numFmtId="0" fontId="78" fillId="11" borderId="95" xfId="0" applyFont="1" applyFill="1" applyBorder="1" applyAlignment="1">
      <alignment horizontal="center" vertical="center"/>
    </xf>
    <xf numFmtId="0" fontId="101" fillId="29" borderId="95" xfId="0" applyFont="1" applyFill="1" applyBorder="1" applyAlignment="1">
      <alignment vertical="center"/>
    </xf>
    <xf numFmtId="0" fontId="78" fillId="29" borderId="95" xfId="0" applyFont="1" applyFill="1" applyBorder="1" applyAlignment="1">
      <alignment horizontal="center" vertical="center" shrinkToFit="1"/>
    </xf>
    <xf numFmtId="0" fontId="78" fillId="29" borderId="99" xfId="0" applyFont="1" applyFill="1" applyBorder="1" applyAlignment="1">
      <alignment horizontal="center" vertical="center" shrinkToFit="1"/>
    </xf>
    <xf numFmtId="38" fontId="83" fillId="11" borderId="23" xfId="0" applyNumberFormat="1" applyFont="1" applyFill="1" applyBorder="1" applyAlignment="1">
      <alignment horizontal="center" shrinkToFit="1"/>
    </xf>
    <xf numFmtId="38" fontId="83" fillId="11" borderId="31" xfId="0" applyNumberFormat="1" applyFont="1" applyFill="1" applyBorder="1" applyAlignment="1">
      <alignment horizontal="center" shrinkToFit="1"/>
    </xf>
    <xf numFmtId="38" fontId="87" fillId="11" borderId="95" xfId="0" applyNumberFormat="1" applyFont="1" applyFill="1" applyBorder="1" applyAlignment="1">
      <alignment horizontal="center" vertical="center" shrinkToFit="1"/>
    </xf>
    <xf numFmtId="38" fontId="87" fillId="11" borderId="99" xfId="0" applyNumberFormat="1" applyFont="1" applyFill="1" applyBorder="1" applyAlignment="1">
      <alignment horizontal="center" vertical="center" shrinkToFit="1"/>
    </xf>
    <xf numFmtId="38" fontId="87" fillId="11" borderId="89" xfId="0" applyNumberFormat="1" applyFont="1" applyFill="1" applyBorder="1" applyAlignment="1">
      <alignment horizontal="center" vertical="center" shrinkToFit="1"/>
    </xf>
    <xf numFmtId="38" fontId="87" fillId="11" borderId="100" xfId="0" applyNumberFormat="1" applyFont="1" applyFill="1" applyBorder="1" applyAlignment="1">
      <alignment horizontal="center" vertical="center" shrinkToFit="1"/>
    </xf>
    <xf numFmtId="0" fontId="78" fillId="29" borderId="225" xfId="0" applyFont="1" applyFill="1" applyBorder="1" applyAlignment="1">
      <alignment vertical="center"/>
    </xf>
    <xf numFmtId="0" fontId="78" fillId="29" borderId="15" xfId="0" applyFont="1" applyFill="1" applyBorder="1" applyAlignment="1">
      <alignment horizontal="right" vertical="center"/>
    </xf>
    <xf numFmtId="0" fontId="78" fillId="0" borderId="309" xfId="0" applyFont="1" applyFill="1" applyBorder="1" applyAlignment="1">
      <alignment horizontal="center" vertical="center"/>
    </xf>
    <xf numFmtId="38" fontId="78" fillId="29" borderId="151" xfId="0" applyNumberFormat="1" applyFont="1" applyFill="1" applyBorder="1" applyAlignment="1">
      <alignment horizontal="right" vertical="center"/>
    </xf>
    <xf numFmtId="179" fontId="78" fillId="11" borderId="151" xfId="0" applyNumberFormat="1" applyFont="1" applyFill="1" applyBorder="1" applyAlignment="1">
      <alignment shrinkToFit="1"/>
    </xf>
    <xf numFmtId="179" fontId="78" fillId="11" borderId="151" xfId="0" applyNumberFormat="1" applyFont="1" applyFill="1" applyBorder="1" applyAlignment="1">
      <alignment vertical="center" shrinkToFit="1"/>
    </xf>
    <xf numFmtId="179" fontId="78" fillId="11" borderId="152" xfId="0" applyNumberFormat="1" applyFont="1" applyFill="1" applyBorder="1" applyAlignment="1">
      <alignment vertical="center" shrinkToFit="1"/>
    </xf>
    <xf numFmtId="0" fontId="78" fillId="29" borderId="178" xfId="0" applyFont="1" applyFill="1" applyBorder="1" applyAlignment="1">
      <alignment horizontal="right" vertical="center"/>
    </xf>
    <xf numFmtId="0" fontId="78" fillId="29" borderId="233" xfId="0" applyFont="1" applyFill="1" applyBorder="1" applyAlignment="1">
      <alignment horizontal="right" vertical="center"/>
    </xf>
    <xf numFmtId="0" fontId="78" fillId="0" borderId="83" xfId="0" applyFont="1" applyFill="1" applyBorder="1" applyAlignment="1">
      <alignment horizontal="center" vertical="center"/>
    </xf>
    <xf numFmtId="38" fontId="78" fillId="29" borderId="82" xfId="0" applyNumberFormat="1" applyFont="1" applyFill="1" applyBorder="1" applyAlignment="1">
      <alignment horizontal="right" vertical="center"/>
    </xf>
    <xf numFmtId="179" fontId="78" fillId="0" borderId="82" xfId="0" applyNumberFormat="1" applyFont="1" applyFill="1" applyBorder="1" applyAlignment="1">
      <alignment vertical="center" shrinkToFit="1"/>
    </xf>
    <xf numFmtId="179" fontId="78" fillId="0" borderId="200" xfId="0" applyNumberFormat="1" applyFont="1" applyFill="1" applyBorder="1" applyAlignment="1">
      <alignment vertical="center" shrinkToFit="1"/>
    </xf>
    <xf numFmtId="0" fontId="78" fillId="0" borderId="96" xfId="0" applyFont="1" applyFill="1" applyBorder="1" applyAlignment="1">
      <alignment horizontal="center" vertical="center"/>
    </xf>
    <xf numFmtId="38" fontId="78" fillId="29" borderId="95" xfId="0" applyNumberFormat="1" applyFont="1" applyFill="1" applyBorder="1" applyAlignment="1">
      <alignment horizontal="right" vertical="center"/>
    </xf>
    <xf numFmtId="179" fontId="78" fillId="0" borderId="95" xfId="0" applyNumberFormat="1" applyFont="1" applyFill="1" applyBorder="1" applyAlignment="1">
      <alignment vertical="center" shrinkToFit="1"/>
    </xf>
    <xf numFmtId="179" fontId="78" fillId="0" borderId="99" xfId="0" applyNumberFormat="1" applyFont="1" applyFill="1" applyBorder="1" applyAlignment="1">
      <alignment vertical="center" shrinkToFit="1"/>
    </xf>
    <xf numFmtId="38" fontId="87" fillId="29" borderId="95" xfId="0" applyNumberFormat="1" applyFont="1" applyFill="1" applyBorder="1" applyAlignment="1">
      <alignment horizontal="right" vertical="center"/>
    </xf>
    <xf numFmtId="179" fontId="78" fillId="36" borderId="95" xfId="0" applyNumberFormat="1" applyFont="1" applyFill="1" applyBorder="1" applyAlignment="1">
      <alignment shrinkToFit="1"/>
    </xf>
    <xf numFmtId="179" fontId="78" fillId="36" borderId="95" xfId="0" applyNumberFormat="1" applyFont="1" applyFill="1" applyBorder="1" applyAlignment="1">
      <alignment vertical="center" shrinkToFit="1"/>
    </xf>
    <xf numFmtId="179" fontId="78" fillId="36" borderId="99" xfId="0" applyNumberFormat="1" applyFont="1" applyFill="1" applyBorder="1" applyAlignment="1">
      <alignment vertical="center" shrinkToFit="1"/>
    </xf>
    <xf numFmtId="0" fontId="87" fillId="0" borderId="0" xfId="0" applyFont="1" applyBorder="1" applyAlignment="1">
      <alignment vertical="center"/>
    </xf>
    <xf numFmtId="0" fontId="87" fillId="29" borderId="139" xfId="0" applyFont="1" applyFill="1" applyBorder="1" applyAlignment="1">
      <alignment horizontal="left" vertical="center"/>
    </xf>
    <xf numFmtId="0" fontId="78" fillId="21" borderId="139" xfId="0" applyFont="1" applyFill="1" applyBorder="1" applyAlignment="1">
      <alignment horizontal="right" vertical="center"/>
    </xf>
    <xf numFmtId="0" fontId="78" fillId="0" borderId="169" xfId="0" applyFont="1" applyFill="1" applyBorder="1" applyAlignment="1">
      <alignment horizontal="center" vertical="center"/>
    </xf>
    <xf numFmtId="38" fontId="87" fillId="21" borderId="120" xfId="0" applyNumberFormat="1" applyFont="1" applyFill="1" applyBorder="1" applyAlignment="1">
      <alignment horizontal="right" vertical="center"/>
    </xf>
    <xf numFmtId="179" fontId="78" fillId="36" borderId="120" xfId="0" applyNumberFormat="1" applyFont="1" applyFill="1" applyBorder="1" applyAlignment="1">
      <alignment shrinkToFit="1"/>
    </xf>
    <xf numFmtId="179" fontId="78" fillId="36" borderId="120" xfId="0" applyNumberFormat="1" applyFont="1" applyFill="1" applyBorder="1" applyAlignment="1">
      <alignment vertical="center" shrinkToFit="1"/>
    </xf>
    <xf numFmtId="179" fontId="78" fillId="36" borderId="122" xfId="0" applyNumberFormat="1" applyFont="1" applyFill="1" applyBorder="1" applyAlignment="1">
      <alignment vertical="center" shrinkToFit="1"/>
    </xf>
    <xf numFmtId="0" fontId="78" fillId="0" borderId="115" xfId="0" applyFont="1" applyFill="1" applyBorder="1" applyAlignment="1">
      <alignment horizontal="right" vertical="center"/>
    </xf>
    <xf numFmtId="0" fontId="87" fillId="0" borderId="142" xfId="0" applyFont="1" applyFill="1" applyBorder="1" applyAlignment="1">
      <alignment vertical="center"/>
    </xf>
    <xf numFmtId="0" fontId="87" fillId="0" borderId="142" xfId="0" applyFont="1" applyFill="1" applyBorder="1" applyAlignment="1">
      <alignment horizontal="left" vertical="center"/>
    </xf>
    <xf numFmtId="0" fontId="78" fillId="0" borderId="142" xfId="0" applyFont="1" applyFill="1" applyBorder="1" applyAlignment="1">
      <alignment horizontal="right" vertical="center"/>
    </xf>
    <xf numFmtId="0" fontId="78" fillId="0" borderId="52" xfId="0" applyFont="1" applyFill="1" applyBorder="1" applyAlignment="1">
      <alignment horizontal="center" vertical="center"/>
    </xf>
    <xf numFmtId="38" fontId="87" fillId="0" borderId="23" xfId="0" applyNumberFormat="1" applyFont="1" applyFill="1" applyBorder="1" applyAlignment="1">
      <alignment horizontal="right" vertical="center"/>
    </xf>
    <xf numFmtId="179" fontId="78" fillId="36" borderId="23" xfId="0" applyNumberFormat="1" applyFont="1" applyFill="1" applyBorder="1" applyAlignment="1">
      <alignment shrinkToFit="1"/>
    </xf>
    <xf numFmtId="179" fontId="78" fillId="36" borderId="23" xfId="0" applyNumberFormat="1" applyFont="1" applyFill="1" applyBorder="1" applyAlignment="1">
      <alignment vertical="center" shrinkToFit="1"/>
    </xf>
    <xf numFmtId="179" fontId="78" fillId="36" borderId="31" xfId="0" applyNumberFormat="1" applyFont="1" applyFill="1" applyBorder="1" applyAlignment="1">
      <alignment vertical="center" shrinkToFit="1"/>
    </xf>
    <xf numFmtId="0" fontId="78" fillId="0" borderId="189" xfId="0" applyFont="1" applyFill="1" applyBorder="1" applyAlignment="1">
      <alignment horizontal="right" vertical="center"/>
    </xf>
    <xf numFmtId="0" fontId="87" fillId="0" borderId="139" xfId="0" applyFont="1" applyFill="1" applyBorder="1" applyAlignment="1">
      <alignment vertical="center"/>
    </xf>
    <xf numFmtId="0" fontId="87" fillId="0" borderId="139" xfId="0" applyFont="1" applyFill="1" applyBorder="1" applyAlignment="1">
      <alignment horizontal="left" vertical="center"/>
    </xf>
    <xf numFmtId="0" fontId="78" fillId="0" borderId="139" xfId="0" applyFont="1" applyFill="1" applyBorder="1" applyAlignment="1">
      <alignment horizontal="right" vertical="center"/>
    </xf>
    <xf numFmtId="38" fontId="87" fillId="0" borderId="120" xfId="0" applyNumberFormat="1" applyFont="1" applyFill="1" applyBorder="1" applyAlignment="1">
      <alignment horizontal="right" vertical="center"/>
    </xf>
    <xf numFmtId="0" fontId="78" fillId="0" borderId="175" xfId="0" applyFont="1" applyFill="1" applyBorder="1" applyAlignment="1">
      <alignment horizontal="right" vertical="center"/>
    </xf>
    <xf numFmtId="0" fontId="87" fillId="0" borderId="176" xfId="0" applyFont="1" applyFill="1" applyBorder="1" applyAlignment="1">
      <alignment vertical="center"/>
    </xf>
    <xf numFmtId="0" fontId="87" fillId="0" borderId="176" xfId="0" applyFont="1" applyFill="1" applyBorder="1" applyAlignment="1">
      <alignment horizontal="left" vertical="center"/>
    </xf>
    <xf numFmtId="0" fontId="78" fillId="0" borderId="176" xfId="0" applyFont="1" applyFill="1" applyBorder="1" applyAlignment="1">
      <alignment horizontal="right" vertical="center"/>
    </xf>
    <xf numFmtId="0" fontId="78" fillId="0" borderId="86" xfId="0" applyFont="1" applyFill="1" applyBorder="1" applyAlignment="1">
      <alignment horizontal="center" vertical="center"/>
    </xf>
    <xf numFmtId="38" fontId="87" fillId="0" borderId="85" xfId="0" applyNumberFormat="1" applyFont="1" applyFill="1" applyBorder="1" applyAlignment="1">
      <alignment horizontal="right" vertical="center"/>
    </xf>
    <xf numFmtId="179" fontId="78" fillId="36" borderId="85" xfId="0" applyNumberFormat="1" applyFont="1" applyFill="1" applyBorder="1" applyAlignment="1">
      <alignment shrinkToFit="1"/>
    </xf>
    <xf numFmtId="179" fontId="78" fillId="36" borderId="85" xfId="0" applyNumberFormat="1" applyFont="1" applyFill="1" applyBorder="1" applyAlignment="1">
      <alignment vertical="center" shrinkToFit="1"/>
    </xf>
    <xf numFmtId="179" fontId="78" fillId="36" borderId="98" xfId="0" applyNumberFormat="1" applyFont="1" applyFill="1" applyBorder="1" applyAlignment="1">
      <alignment vertical="center" shrinkToFit="1"/>
    </xf>
    <xf numFmtId="0" fontId="78" fillId="29" borderId="225" xfId="0" applyFont="1" applyFill="1" applyBorder="1" applyAlignment="1">
      <alignment horizontal="left" vertical="center"/>
    </xf>
    <xf numFmtId="0" fontId="78" fillId="29" borderId="15" xfId="0" applyFont="1" applyFill="1" applyBorder="1" applyAlignment="1">
      <alignment horizontal="left" vertical="center"/>
    </xf>
    <xf numFmtId="0" fontId="78" fillId="29" borderId="151" xfId="0" applyFont="1" applyFill="1" applyBorder="1" applyAlignment="1">
      <alignment horizontal="center" vertical="center"/>
    </xf>
    <xf numFmtId="38" fontId="78" fillId="0" borderId="151" xfId="0" applyNumberFormat="1" applyFont="1" applyFill="1" applyBorder="1" applyAlignment="1">
      <alignment horizontal="right" vertical="center" shrinkToFit="1"/>
    </xf>
    <xf numFmtId="38" fontId="78" fillId="0" borderId="152" xfId="0" applyNumberFormat="1" applyFont="1" applyFill="1" applyBorder="1" applyAlignment="1">
      <alignment horizontal="right" vertical="center" shrinkToFit="1"/>
    </xf>
    <xf numFmtId="0" fontId="87" fillId="29" borderId="178" xfId="0" applyFont="1" applyFill="1" applyBorder="1" applyAlignment="1">
      <alignment horizontal="left" vertical="center"/>
    </xf>
    <xf numFmtId="0" fontId="78" fillId="29" borderId="178" xfId="0" applyFont="1" applyFill="1" applyBorder="1" applyAlignment="1">
      <alignment horizontal="left" vertical="center" shrinkToFit="1"/>
    </xf>
    <xf numFmtId="0" fontId="78" fillId="29" borderId="82" xfId="0" applyFont="1" applyFill="1" applyBorder="1" applyAlignment="1">
      <alignment horizontal="center" vertical="center"/>
    </xf>
    <xf numFmtId="38" fontId="78" fillId="21" borderId="82" xfId="0" applyNumberFormat="1" applyFont="1" applyFill="1" applyBorder="1" applyAlignment="1">
      <alignment horizontal="right" vertical="center" shrinkToFit="1"/>
    </xf>
    <xf numFmtId="38" fontId="78" fillId="21" borderId="200" xfId="0" applyNumberFormat="1" applyFont="1" applyFill="1" applyBorder="1" applyAlignment="1">
      <alignment horizontal="right" vertical="center" shrinkToFit="1"/>
    </xf>
    <xf numFmtId="0" fontId="87" fillId="0" borderId="142" xfId="0" applyFont="1" applyBorder="1" applyAlignment="1">
      <alignment vertical="center"/>
    </xf>
    <xf numFmtId="0" fontId="78" fillId="29" borderId="23" xfId="0" applyFont="1" applyFill="1" applyBorder="1" applyAlignment="1">
      <alignment horizontal="right" vertical="center"/>
    </xf>
    <xf numFmtId="38" fontId="78" fillId="29" borderId="23" xfId="0" applyNumberFormat="1" applyFont="1" applyFill="1" applyBorder="1" applyAlignment="1">
      <alignment horizontal="right" vertical="center"/>
    </xf>
    <xf numFmtId="38" fontId="78" fillId="17" borderId="23" xfId="0" applyNumberFormat="1" applyFont="1" applyFill="1" applyBorder="1" applyAlignment="1">
      <alignment horizontal="right" vertical="center" shrinkToFit="1"/>
    </xf>
    <xf numFmtId="38" fontId="78" fillId="17" borderId="31" xfId="0" applyNumberFormat="1" applyFont="1" applyFill="1" applyBorder="1" applyAlignment="1">
      <alignment horizontal="right" vertical="center" shrinkToFit="1"/>
    </xf>
    <xf numFmtId="0" fontId="78" fillId="29" borderId="284" xfId="0" applyFont="1" applyFill="1" applyBorder="1" applyAlignment="1">
      <alignment horizontal="right" vertical="center"/>
    </xf>
    <xf numFmtId="0" fontId="78" fillId="29" borderId="259" xfId="0" applyFont="1" applyFill="1" applyBorder="1" applyAlignment="1">
      <alignment horizontal="right" vertical="center"/>
    </xf>
    <xf numFmtId="0" fontId="78" fillId="29" borderId="176" xfId="0" applyFont="1" applyFill="1" applyBorder="1" applyAlignment="1">
      <alignment horizontal="left" vertical="center"/>
    </xf>
    <xf numFmtId="0" fontId="78" fillId="29" borderId="85" xfId="0" applyFont="1" applyFill="1" applyBorder="1" applyAlignment="1">
      <alignment horizontal="right" vertical="center"/>
    </xf>
    <xf numFmtId="38" fontId="78" fillId="17" borderId="85" xfId="0" applyNumberFormat="1" applyFont="1" applyFill="1" applyBorder="1" applyAlignment="1">
      <alignment horizontal="right" vertical="center"/>
    </xf>
    <xf numFmtId="38" fontId="91" fillId="17" borderId="85" xfId="0" applyNumberFormat="1" applyFont="1" applyFill="1" applyBorder="1" applyAlignment="1">
      <alignment horizontal="right" vertical="center" shrinkToFit="1"/>
    </xf>
    <xf numFmtId="38" fontId="91" fillId="17" borderId="98" xfId="0" applyNumberFormat="1" applyFont="1" applyFill="1" applyBorder="1" applyAlignment="1">
      <alignment horizontal="right" vertical="center" shrinkToFit="1"/>
    </xf>
    <xf numFmtId="0" fontId="78" fillId="29" borderId="0" xfId="0" applyFont="1" applyFill="1" applyBorder="1" applyAlignment="1">
      <alignment horizontal="left" vertical="center"/>
    </xf>
    <xf numFmtId="0" fontId="78" fillId="29" borderId="121" xfId="0" applyFont="1" applyFill="1" applyBorder="1" applyAlignment="1">
      <alignment horizontal="right" vertical="center"/>
    </xf>
    <xf numFmtId="38" fontId="78" fillId="29" borderId="121" xfId="0" applyNumberFormat="1" applyFont="1" applyFill="1" applyBorder="1" applyAlignment="1">
      <alignment horizontal="right" vertical="center"/>
    </xf>
    <xf numFmtId="38" fontId="78" fillId="29" borderId="121" xfId="0" applyNumberFormat="1" applyFont="1" applyFill="1" applyBorder="1" applyAlignment="1">
      <alignment horizontal="right" vertical="center" shrinkToFit="1"/>
    </xf>
    <xf numFmtId="38" fontId="78" fillId="29" borderId="204" xfId="0" applyNumberFormat="1" applyFont="1" applyFill="1" applyBorder="1" applyAlignment="1">
      <alignment horizontal="right" vertical="center" shrinkToFit="1"/>
    </xf>
    <xf numFmtId="0" fontId="78" fillId="29" borderId="178" xfId="0" applyFont="1" applyFill="1" applyBorder="1" applyAlignment="1">
      <alignment horizontal="left" vertical="center"/>
    </xf>
    <xf numFmtId="0" fontId="78" fillId="29" borderId="82" xfId="0" applyFont="1" applyFill="1" applyBorder="1" applyAlignment="1">
      <alignment horizontal="right" vertical="center"/>
    </xf>
    <xf numFmtId="0" fontId="78" fillId="29" borderId="142" xfId="0" applyFont="1" applyFill="1" applyBorder="1" applyAlignment="1">
      <alignment horizontal="right" vertical="center"/>
    </xf>
    <xf numFmtId="38" fontId="78" fillId="17" borderId="23" xfId="0" applyNumberFormat="1" applyFont="1" applyFill="1" applyBorder="1" applyAlignment="1">
      <alignment horizontal="right" vertical="center"/>
    </xf>
    <xf numFmtId="0" fontId="78" fillId="21" borderId="226" xfId="0" applyFont="1" applyFill="1" applyBorder="1" applyAlignment="1">
      <alignment horizontal="right" vertical="center"/>
    </xf>
    <xf numFmtId="0" fontId="78" fillId="21" borderId="0" xfId="0" applyFont="1" applyFill="1" applyBorder="1" applyAlignment="1">
      <alignment horizontal="right" vertical="center"/>
    </xf>
    <xf numFmtId="0" fontId="78" fillId="21" borderId="142" xfId="0" applyFont="1" applyFill="1" applyBorder="1" applyAlignment="1">
      <alignment horizontal="left" vertical="center"/>
    </xf>
    <xf numFmtId="0" fontId="78" fillId="21" borderId="23" xfId="0" applyFont="1" applyFill="1" applyBorder="1" applyAlignment="1">
      <alignment horizontal="right" vertical="center"/>
    </xf>
    <xf numFmtId="38" fontId="78" fillId="21" borderId="23" xfId="0" applyNumberFormat="1" applyFont="1" applyFill="1" applyBorder="1" applyAlignment="1">
      <alignment horizontal="right" vertical="center"/>
    </xf>
    <xf numFmtId="38" fontId="78" fillId="21" borderId="23" xfId="0" applyNumberFormat="1" applyFont="1" applyFill="1" applyBorder="1" applyAlignment="1">
      <alignment horizontal="right" vertical="center" shrinkToFit="1"/>
    </xf>
    <xf numFmtId="38" fontId="78" fillId="21" borderId="31" xfId="0" applyNumberFormat="1" applyFont="1" applyFill="1" applyBorder="1" applyAlignment="1">
      <alignment horizontal="right" vertical="center" shrinkToFit="1"/>
    </xf>
    <xf numFmtId="0" fontId="78" fillId="21" borderId="142" xfId="0" applyFont="1" applyFill="1" applyBorder="1" applyAlignment="1">
      <alignment horizontal="right" vertical="center"/>
    </xf>
    <xf numFmtId="0" fontId="78" fillId="21" borderId="259" xfId="0" applyFont="1" applyFill="1" applyBorder="1" applyAlignment="1">
      <alignment horizontal="right" vertical="center"/>
    </xf>
    <xf numFmtId="0" fontId="78" fillId="21" borderId="120" xfId="0" applyFont="1" applyFill="1" applyBorder="1" applyAlignment="1">
      <alignment horizontal="right" vertical="center"/>
    </xf>
    <xf numFmtId="38" fontId="78" fillId="21" borderId="120" xfId="0" applyNumberFormat="1" applyFont="1" applyFill="1" applyBorder="1" applyAlignment="1">
      <alignment horizontal="right" vertical="center"/>
    </xf>
    <xf numFmtId="38" fontId="78" fillId="21" borderId="120" xfId="0" applyNumberFormat="1" applyFont="1" applyFill="1" applyBorder="1" applyAlignment="1">
      <alignment horizontal="right" vertical="center" shrinkToFit="1"/>
    </xf>
    <xf numFmtId="38" fontId="78" fillId="21" borderId="122" xfId="0" applyNumberFormat="1" applyFont="1" applyFill="1" applyBorder="1" applyAlignment="1">
      <alignment horizontal="right" vertical="center" shrinkToFit="1"/>
    </xf>
    <xf numFmtId="0" fontId="78" fillId="29" borderId="14" xfId="0" applyFont="1" applyFill="1" applyBorder="1" applyAlignment="1">
      <alignment horizontal="right" vertical="center"/>
    </xf>
    <xf numFmtId="0" fontId="78" fillId="29" borderId="14" xfId="0" applyFont="1" applyFill="1" applyBorder="1" applyAlignment="1">
      <alignment horizontal="left" vertical="center"/>
    </xf>
    <xf numFmtId="0" fontId="78" fillId="29" borderId="151" xfId="0" applyFont="1" applyFill="1" applyBorder="1" applyAlignment="1">
      <alignment horizontal="right" vertical="center"/>
    </xf>
    <xf numFmtId="38" fontId="78" fillId="29" borderId="151" xfId="0" applyNumberFormat="1" applyFont="1" applyFill="1" applyBorder="1" applyAlignment="1">
      <alignment horizontal="right" vertical="center" shrinkToFit="1"/>
    </xf>
    <xf numFmtId="38" fontId="78" fillId="29" borderId="152" xfId="0" applyNumberFormat="1" applyFont="1" applyFill="1" applyBorder="1" applyAlignment="1">
      <alignment horizontal="right" vertical="center" shrinkToFit="1"/>
    </xf>
    <xf numFmtId="0" fontId="90" fillId="29" borderId="15" xfId="0" applyFont="1" applyFill="1" applyBorder="1" applyAlignment="1">
      <alignment horizontal="left" vertical="center"/>
    </xf>
    <xf numFmtId="0" fontId="88" fillId="29" borderId="15" xfId="0" applyFont="1" applyFill="1" applyBorder="1" applyAlignment="1">
      <alignment horizontal="center" vertical="center"/>
    </xf>
    <xf numFmtId="0" fontId="78" fillId="29" borderId="15" xfId="0" applyFont="1" applyFill="1" applyBorder="1" applyAlignment="1">
      <alignment horizontal="center" vertical="center"/>
    </xf>
    <xf numFmtId="0" fontId="78" fillId="29" borderId="15" xfId="0" applyFont="1" applyFill="1" applyBorder="1" applyAlignment="1">
      <alignment horizontal="left" vertical="center" shrinkToFit="1"/>
    </xf>
    <xf numFmtId="0" fontId="78" fillId="29" borderId="15" xfId="0" applyFont="1" applyFill="1" applyBorder="1" applyAlignment="1">
      <alignment horizontal="right" vertical="center" shrinkToFit="1"/>
    </xf>
    <xf numFmtId="0" fontId="78" fillId="29" borderId="229" xfId="0" applyFont="1" applyFill="1" applyBorder="1" applyAlignment="1">
      <alignment horizontal="right" vertical="center"/>
    </xf>
    <xf numFmtId="0" fontId="90" fillId="29" borderId="284" xfId="0" applyFont="1" applyFill="1" applyBorder="1" applyAlignment="1">
      <alignment horizontal="left" vertical="center"/>
    </xf>
    <xf numFmtId="0" fontId="88" fillId="29" borderId="226" xfId="0" applyFont="1" applyFill="1" applyBorder="1" applyAlignment="1">
      <alignment horizontal="left" vertical="center"/>
    </xf>
    <xf numFmtId="0" fontId="88" fillId="29" borderId="259" xfId="0" applyFont="1" applyFill="1" applyBorder="1" applyAlignment="1">
      <alignment horizontal="left" vertical="center"/>
    </xf>
    <xf numFmtId="0" fontId="78" fillId="29" borderId="89" xfId="0" applyFont="1" applyFill="1" applyBorder="1" applyAlignment="1">
      <alignment horizontal="center" vertical="center"/>
    </xf>
    <xf numFmtId="0" fontId="78" fillId="29" borderId="89" xfId="0" applyFont="1" applyFill="1" applyBorder="1" applyAlignment="1">
      <alignment horizontal="right" vertical="center"/>
    </xf>
    <xf numFmtId="0" fontId="78" fillId="29" borderId="89" xfId="0" applyFont="1" applyFill="1" applyBorder="1" applyAlignment="1">
      <alignment horizontal="right" vertical="center" shrinkToFit="1"/>
    </xf>
    <xf numFmtId="0" fontId="78" fillId="29" borderId="100" xfId="0" applyFont="1" applyFill="1" applyBorder="1" applyAlignment="1">
      <alignment horizontal="right" vertical="center" shrinkToFit="1"/>
    </xf>
    <xf numFmtId="38" fontId="78" fillId="11" borderId="82" xfId="0" applyNumberFormat="1" applyFont="1" applyFill="1" applyBorder="1" applyAlignment="1">
      <alignment horizontal="right" vertical="center" shrinkToFit="1"/>
    </xf>
    <xf numFmtId="38" fontId="78" fillId="11" borderId="200" xfId="0" applyNumberFormat="1" applyFont="1" applyFill="1" applyBorder="1" applyAlignment="1">
      <alignment horizontal="right" vertical="center" shrinkToFit="1"/>
    </xf>
    <xf numFmtId="0" fontId="78" fillId="17" borderId="141" xfId="0" applyFont="1" applyFill="1" applyBorder="1" applyAlignment="1">
      <alignment horizontal="left" vertical="center" shrinkToFit="1"/>
    </xf>
    <xf numFmtId="0" fontId="78" fillId="17" borderId="95" xfId="0" applyFont="1" applyFill="1" applyBorder="1" applyAlignment="1">
      <alignment horizontal="right" vertical="center"/>
    </xf>
    <xf numFmtId="38" fontId="78" fillId="17" borderId="95" xfId="0" applyNumberFormat="1" applyFont="1" applyFill="1" applyBorder="1" applyAlignment="1">
      <alignment horizontal="right" vertical="center"/>
    </xf>
    <xf numFmtId="38" fontId="87" fillId="17" borderId="95" xfId="0" applyNumberFormat="1" applyFont="1" applyFill="1" applyBorder="1" applyAlignment="1">
      <alignment horizontal="right" vertical="center" shrinkToFit="1"/>
    </xf>
    <xf numFmtId="38" fontId="87" fillId="17" borderId="99" xfId="0" applyNumberFormat="1" applyFont="1" applyFill="1" applyBorder="1" applyAlignment="1">
      <alignment horizontal="right" vertical="center" shrinkToFit="1"/>
    </xf>
    <xf numFmtId="0" fontId="78" fillId="17" borderId="142" xfId="0" applyFont="1" applyFill="1" applyBorder="1" applyAlignment="1">
      <alignment horizontal="left" vertical="center" shrinkToFit="1"/>
    </xf>
    <xf numFmtId="0" fontId="78" fillId="17" borderId="23" xfId="0" applyFont="1" applyFill="1" applyBorder="1" applyAlignment="1">
      <alignment horizontal="right" vertical="center"/>
    </xf>
    <xf numFmtId="0" fontId="102" fillId="29" borderId="142" xfId="0" applyFont="1" applyFill="1" applyBorder="1" applyAlignment="1">
      <alignment horizontal="left" vertical="center"/>
    </xf>
    <xf numFmtId="0" fontId="78" fillId="29" borderId="142" xfId="0" applyFont="1" applyFill="1" applyBorder="1" applyAlignment="1">
      <alignment horizontal="left" vertical="center" shrinkToFit="1"/>
    </xf>
    <xf numFmtId="38" fontId="91" fillId="25" borderId="23" xfId="0" applyNumberFormat="1" applyFont="1" applyFill="1" applyBorder="1" applyAlignment="1">
      <alignment horizontal="right" vertical="center" shrinkToFit="1"/>
    </xf>
    <xf numFmtId="38" fontId="91" fillId="25" borderId="31" xfId="0" applyNumberFormat="1" applyFont="1" applyFill="1" applyBorder="1" applyAlignment="1">
      <alignment horizontal="right" vertical="center" shrinkToFit="1"/>
    </xf>
    <xf numFmtId="38" fontId="91" fillId="17" borderId="23" xfId="0" applyNumberFormat="1" applyFont="1" applyFill="1" applyBorder="1" applyAlignment="1">
      <alignment horizontal="right" vertical="center" shrinkToFit="1"/>
    </xf>
    <xf numFmtId="38" fontId="91" fillId="17" borderId="31" xfId="0" applyNumberFormat="1" applyFont="1" applyFill="1" applyBorder="1" applyAlignment="1">
      <alignment horizontal="right" vertical="center" shrinkToFit="1"/>
    </xf>
    <xf numFmtId="38" fontId="78" fillId="11" borderId="23" xfId="0" applyNumberFormat="1" applyFont="1" applyFill="1" applyBorder="1" applyAlignment="1">
      <alignment horizontal="right" shrinkToFit="1"/>
    </xf>
    <xf numFmtId="38" fontId="78" fillId="11" borderId="23" xfId="0" applyNumberFormat="1" applyFont="1" applyFill="1" applyBorder="1" applyAlignment="1">
      <alignment horizontal="right" vertical="center" shrinkToFit="1"/>
    </xf>
    <xf numFmtId="38" fontId="78" fillId="11" borderId="31" xfId="0" applyNumberFormat="1" applyFont="1" applyFill="1" applyBorder="1" applyAlignment="1">
      <alignment horizontal="right" vertical="center" shrinkToFit="1"/>
    </xf>
    <xf numFmtId="0" fontId="103" fillId="29" borderId="142" xfId="0" applyFont="1" applyFill="1" applyBorder="1" applyAlignment="1">
      <alignment horizontal="left" vertical="center" shrinkToFit="1"/>
    </xf>
    <xf numFmtId="0" fontId="91" fillId="29" borderId="142" xfId="0" applyFont="1" applyFill="1" applyBorder="1" applyAlignment="1">
      <alignment horizontal="left" vertical="center" shrinkToFit="1"/>
    </xf>
    <xf numFmtId="38" fontId="78" fillId="0" borderId="23" xfId="0" applyNumberFormat="1" applyFont="1" applyFill="1" applyBorder="1" applyAlignment="1">
      <alignment horizontal="right" vertical="center" shrinkToFit="1"/>
    </xf>
    <xf numFmtId="38" fontId="78" fillId="0" borderId="31" xfId="0" applyNumberFormat="1" applyFont="1" applyFill="1" applyBorder="1" applyAlignment="1">
      <alignment horizontal="right" vertical="center" shrinkToFit="1"/>
    </xf>
    <xf numFmtId="0" fontId="78" fillId="29" borderId="52" xfId="0" applyFont="1" applyFill="1" applyBorder="1" applyAlignment="1">
      <alignment horizontal="left" vertical="center" shrinkToFit="1"/>
    </xf>
    <xf numFmtId="192" fontId="78" fillId="0" borderId="140" xfId="0" applyNumberFormat="1" applyFont="1" applyFill="1" applyBorder="1" applyAlignment="1">
      <alignment vertical="center" shrinkToFit="1"/>
    </xf>
    <xf numFmtId="10" fontId="78" fillId="0" borderId="23" xfId="0" applyNumberFormat="1" applyFont="1" applyFill="1" applyBorder="1" applyAlignment="1">
      <alignment horizontal="right" vertical="center" shrinkToFit="1"/>
    </xf>
    <xf numFmtId="0" fontId="78" fillId="30" borderId="142" xfId="0" applyFont="1" applyFill="1" applyBorder="1" applyAlignment="1">
      <alignment horizontal="left" vertical="center" shrinkToFit="1"/>
    </xf>
    <xf numFmtId="0" fontId="78" fillId="29" borderId="142" xfId="0" quotePrefix="1" applyFont="1" applyFill="1" applyBorder="1" applyAlignment="1">
      <alignment horizontal="left" vertical="center" shrinkToFit="1"/>
    </xf>
    <xf numFmtId="0" fontId="92" fillId="29" borderId="142" xfId="0" applyFont="1" applyFill="1" applyBorder="1" applyAlignment="1">
      <alignment horizontal="left" vertical="center"/>
    </xf>
    <xf numFmtId="0" fontId="92" fillId="30" borderId="142" xfId="0" applyFont="1" applyFill="1" applyBorder="1" applyAlignment="1">
      <alignment horizontal="left" vertical="center"/>
    </xf>
    <xf numFmtId="38" fontId="78" fillId="25" borderId="23" xfId="0" applyNumberFormat="1" applyFont="1" applyFill="1" applyBorder="1" applyAlignment="1">
      <alignment horizontal="right" vertical="center" shrinkToFit="1"/>
    </xf>
    <xf numFmtId="38" fontId="78" fillId="25" borderId="31" xfId="0" applyNumberFormat="1" applyFont="1" applyFill="1" applyBorder="1" applyAlignment="1">
      <alignment horizontal="right" vertical="center" shrinkToFit="1"/>
    </xf>
    <xf numFmtId="0" fontId="87" fillId="29" borderId="142" xfId="0" applyFont="1" applyFill="1" applyBorder="1" applyAlignment="1">
      <alignment horizontal="left" vertical="center" shrinkToFit="1"/>
    </xf>
    <xf numFmtId="0" fontId="87" fillId="29" borderId="23" xfId="0" applyFont="1" applyFill="1" applyBorder="1" applyAlignment="1">
      <alignment horizontal="right" vertical="center"/>
    </xf>
    <xf numFmtId="38" fontId="78" fillId="31" borderId="23" xfId="0" applyNumberFormat="1" applyFont="1" applyFill="1" applyBorder="1" applyAlignment="1">
      <alignment horizontal="right" vertical="center" shrinkToFit="1"/>
    </xf>
    <xf numFmtId="38" fontId="78" fillId="31" borderId="31" xfId="0" applyNumberFormat="1" applyFont="1" applyFill="1" applyBorder="1" applyAlignment="1">
      <alignment horizontal="right" vertical="center" shrinkToFit="1"/>
    </xf>
    <xf numFmtId="0" fontId="87" fillId="30" borderId="142" xfId="0" applyFont="1" applyFill="1" applyBorder="1" applyAlignment="1">
      <alignment horizontal="left" vertical="center" shrinkToFit="1"/>
    </xf>
    <xf numFmtId="0" fontId="92" fillId="30" borderId="176" xfId="0" applyFont="1" applyFill="1" applyBorder="1" applyAlignment="1">
      <alignment horizontal="left" vertical="center"/>
    </xf>
    <xf numFmtId="0" fontId="78" fillId="29" borderId="176" xfId="0" applyFont="1" applyFill="1" applyBorder="1" applyAlignment="1">
      <alignment horizontal="left" vertical="center" shrinkToFit="1"/>
    </xf>
    <xf numFmtId="38" fontId="78" fillId="29" borderId="85" xfId="0" applyNumberFormat="1" applyFont="1" applyFill="1" applyBorder="1" applyAlignment="1">
      <alignment horizontal="right" vertical="center"/>
    </xf>
    <xf numFmtId="38" fontId="78" fillId="25" borderId="85" xfId="0" applyNumberFormat="1" applyFont="1" applyFill="1" applyBorder="1" applyAlignment="1">
      <alignment horizontal="right" vertical="center" shrinkToFit="1"/>
    </xf>
    <xf numFmtId="38" fontId="78" fillId="25" borderId="98" xfId="0" applyNumberFormat="1" applyFont="1" applyFill="1" applyBorder="1" applyAlignment="1">
      <alignment horizontal="right" vertical="center" shrinkToFit="1"/>
    </xf>
    <xf numFmtId="0" fontId="83" fillId="0" borderId="0" xfId="0" applyFont="1" applyFill="1" applyBorder="1" applyAlignment="1">
      <alignment horizontal="right" vertical="center"/>
    </xf>
    <xf numFmtId="0" fontId="104" fillId="0" borderId="0" xfId="0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center" vertical="center"/>
    </xf>
    <xf numFmtId="0" fontId="83" fillId="0" borderId="0" xfId="0" applyFont="1" applyFill="1" applyBorder="1" applyAlignment="1">
      <alignment horizontal="right" vertical="center" shrinkToFit="1"/>
    </xf>
    <xf numFmtId="0" fontId="83" fillId="0" borderId="0" xfId="0" applyFont="1" applyFill="1" applyBorder="1" applyAlignment="1">
      <alignment horizontal="center" vertical="center" shrinkToFit="1"/>
    </xf>
    <xf numFmtId="0" fontId="83" fillId="0" borderId="0" xfId="0" applyFont="1" applyFill="1" applyBorder="1" applyAlignment="1">
      <alignment vertical="center"/>
    </xf>
    <xf numFmtId="0" fontId="105" fillId="0" borderId="0" xfId="0" applyFont="1" applyFill="1" applyBorder="1" applyAlignment="1">
      <alignment horizontal="left" vertical="center"/>
    </xf>
    <xf numFmtId="0" fontId="83" fillId="0" borderId="259" xfId="0" applyFont="1" applyFill="1" applyBorder="1" applyAlignment="1">
      <alignment horizontal="right" vertical="center" shrinkToFit="1"/>
    </xf>
    <xf numFmtId="0" fontId="83" fillId="0" borderId="224" xfId="0" applyFont="1" applyFill="1" applyBorder="1" applyAlignment="1">
      <alignment horizontal="right" vertical="center"/>
    </xf>
    <xf numFmtId="0" fontId="83" fillId="0" borderId="225" xfId="0" applyFont="1" applyFill="1" applyBorder="1" applyAlignment="1">
      <alignment horizontal="right" vertical="center"/>
    </xf>
    <xf numFmtId="0" fontId="83" fillId="0" borderId="231" xfId="0" applyFont="1" applyFill="1" applyBorder="1" applyAlignment="1">
      <alignment horizontal="center" vertical="center"/>
    </xf>
    <xf numFmtId="0" fontId="83" fillId="0" borderId="231" xfId="0" applyFont="1" applyFill="1" applyBorder="1" applyAlignment="1">
      <alignment horizontal="center" vertical="center" shrinkToFit="1"/>
    </xf>
    <xf numFmtId="0" fontId="83" fillId="0" borderId="232" xfId="0" applyFont="1" applyFill="1" applyBorder="1" applyAlignment="1">
      <alignment horizontal="center" vertical="center" shrinkToFit="1"/>
    </xf>
    <xf numFmtId="38" fontId="83" fillId="0" borderId="89" xfId="0" applyNumberFormat="1" applyFont="1" applyFill="1" applyBorder="1" applyAlignment="1">
      <alignment horizontal="right" vertical="center"/>
    </xf>
    <xf numFmtId="38" fontId="83" fillId="0" borderId="89" xfId="0" applyNumberFormat="1" applyFont="1" applyFill="1" applyBorder="1" applyAlignment="1">
      <alignment horizontal="right" vertical="center" shrinkToFit="1"/>
    </xf>
    <xf numFmtId="38" fontId="83" fillId="0" borderId="100" xfId="0" applyNumberFormat="1" applyFont="1" applyFill="1" applyBorder="1" applyAlignment="1">
      <alignment horizontal="right" vertical="center" shrinkToFit="1"/>
    </xf>
    <xf numFmtId="38" fontId="83" fillId="0" borderId="0" xfId="0" applyNumberFormat="1" applyFont="1" applyFill="1" applyBorder="1" applyAlignment="1">
      <alignment horizontal="right" vertical="center" shrinkToFit="1"/>
    </xf>
    <xf numFmtId="0" fontId="83" fillId="0" borderId="83" xfId="0" applyFont="1" applyFill="1" applyBorder="1" applyAlignment="1">
      <alignment vertical="center"/>
    </xf>
    <xf numFmtId="0" fontId="83" fillId="0" borderId="178" xfId="0" applyFont="1" applyFill="1" applyBorder="1" applyAlignment="1">
      <alignment vertical="center" shrinkToFit="1"/>
    </xf>
    <xf numFmtId="0" fontId="83" fillId="0" borderId="233" xfId="0" applyFont="1" applyFill="1" applyBorder="1" applyAlignment="1">
      <alignment vertical="center" shrinkToFit="1"/>
    </xf>
    <xf numFmtId="38" fontId="91" fillId="0" borderId="231" xfId="0" applyNumberFormat="1" applyFont="1" applyFill="1" applyBorder="1" applyAlignment="1">
      <alignment horizontal="right" vertical="center"/>
    </xf>
    <xf numFmtId="38" fontId="91" fillId="0" borderId="231" xfId="0" applyNumberFormat="1" applyFont="1" applyFill="1" applyBorder="1" applyAlignment="1">
      <alignment horizontal="right" vertical="center" shrinkToFit="1"/>
    </xf>
    <xf numFmtId="38" fontId="91" fillId="0" borderId="232" xfId="0" applyNumberFormat="1" applyFont="1" applyFill="1" applyBorder="1" applyAlignment="1">
      <alignment horizontal="right" vertical="center" shrinkToFit="1"/>
    </xf>
    <xf numFmtId="38" fontId="82" fillId="0" borderId="0" xfId="0" applyNumberFormat="1" applyFont="1" applyFill="1" applyBorder="1" applyAlignment="1">
      <alignment horizontal="right" vertical="center" shrinkToFit="1"/>
    </xf>
    <xf numFmtId="0" fontId="83" fillId="0" borderId="23" xfId="0" applyFont="1" applyFill="1" applyBorder="1" applyAlignment="1">
      <alignment horizontal="left" vertical="center" shrinkToFit="1"/>
    </xf>
    <xf numFmtId="193" fontId="83" fillId="0" borderId="23" xfId="0" applyNumberFormat="1" applyFont="1" applyFill="1" applyBorder="1" applyAlignment="1">
      <alignment horizontal="right" vertical="center" shrinkToFit="1"/>
    </xf>
    <xf numFmtId="10" fontId="83" fillId="0" borderId="23" xfId="0" quotePrefix="1" applyNumberFormat="1" applyFont="1" applyFill="1" applyBorder="1" applyAlignment="1">
      <alignment horizontal="center" vertical="center" shrinkToFit="1"/>
    </xf>
    <xf numFmtId="38" fontId="91" fillId="0" borderId="23" xfId="0" applyNumberFormat="1" applyFont="1" applyFill="1" applyBorder="1" applyAlignment="1">
      <alignment horizontal="right" vertical="center"/>
    </xf>
    <xf numFmtId="38" fontId="91" fillId="0" borderId="23" xfId="0" applyNumberFormat="1" applyFont="1" applyFill="1" applyBorder="1" applyAlignment="1">
      <alignment horizontal="right" vertical="center" shrinkToFit="1"/>
    </xf>
    <xf numFmtId="38" fontId="91" fillId="0" borderId="31" xfId="0" applyNumberFormat="1" applyFont="1" applyFill="1" applyBorder="1" applyAlignment="1">
      <alignment horizontal="right" vertical="center" shrinkToFit="1"/>
    </xf>
    <xf numFmtId="10" fontId="91" fillId="0" borderId="23" xfId="0" applyNumberFormat="1" applyFont="1" applyFill="1" applyBorder="1" applyAlignment="1">
      <alignment horizontal="right" vertical="center" shrinkToFit="1"/>
    </xf>
    <xf numFmtId="10" fontId="91" fillId="11" borderId="23" xfId="0" applyNumberFormat="1" applyFont="1" applyFill="1" applyBorder="1" applyAlignment="1">
      <alignment horizontal="right" vertical="center" shrinkToFit="1"/>
    </xf>
    <xf numFmtId="193" fontId="91" fillId="0" borderId="23" xfId="0" applyNumberFormat="1" applyFont="1" applyFill="1" applyBorder="1" applyAlignment="1">
      <alignment horizontal="right" vertical="center" shrinkToFit="1"/>
    </xf>
    <xf numFmtId="0" fontId="83" fillId="29" borderId="23" xfId="0" quotePrefix="1" applyFont="1" applyFill="1" applyBorder="1" applyAlignment="1">
      <alignment horizontal="left" vertical="center" shrinkToFit="1"/>
    </xf>
    <xf numFmtId="10" fontId="83" fillId="0" borderId="23" xfId="0" applyNumberFormat="1" applyFont="1" applyFill="1" applyBorder="1" applyAlignment="1">
      <alignment horizontal="right" vertical="center" shrinkToFit="1"/>
    </xf>
    <xf numFmtId="38" fontId="83" fillId="0" borderId="23" xfId="0" applyNumberFormat="1" applyFont="1" applyFill="1" applyBorder="1" applyAlignment="1">
      <alignment horizontal="right" vertical="center" shrinkToFit="1"/>
    </xf>
    <xf numFmtId="38" fontId="83" fillId="0" borderId="31" xfId="0" applyNumberFormat="1" applyFont="1" applyFill="1" applyBorder="1" applyAlignment="1">
      <alignment horizontal="right" vertical="center" shrinkToFit="1"/>
    </xf>
    <xf numFmtId="0" fontId="83" fillId="29" borderId="203" xfId="0" applyFont="1" applyFill="1" applyBorder="1" applyAlignment="1">
      <alignment horizontal="center" vertical="center" shrinkToFit="1"/>
    </xf>
    <xf numFmtId="49" fontId="91" fillId="0" borderId="85" xfId="0" applyNumberFormat="1" applyFont="1" applyFill="1" applyBorder="1" applyAlignment="1">
      <alignment horizontal="left" vertical="center" shrinkToFit="1"/>
    </xf>
    <xf numFmtId="193" fontId="83" fillId="0" borderId="85" xfId="0" applyNumberFormat="1" applyFont="1" applyFill="1" applyBorder="1" applyAlignment="1">
      <alignment horizontal="right" vertical="center" shrinkToFit="1"/>
    </xf>
    <xf numFmtId="10" fontId="83" fillId="0" borderId="85" xfId="0" applyNumberFormat="1" applyFont="1" applyFill="1" applyBorder="1" applyAlignment="1">
      <alignment horizontal="right" vertical="center" shrinkToFit="1"/>
    </xf>
    <xf numFmtId="38" fontId="91" fillId="25" borderId="85" xfId="0" applyNumberFormat="1" applyFont="1" applyFill="1" applyBorder="1" applyAlignment="1">
      <alignment horizontal="right" vertical="center"/>
    </xf>
    <xf numFmtId="38" fontId="91" fillId="25" borderId="85" xfId="0" applyNumberFormat="1" applyFont="1" applyFill="1" applyBorder="1" applyAlignment="1">
      <alignment horizontal="right" vertical="center" shrinkToFit="1"/>
    </xf>
    <xf numFmtId="38" fontId="91" fillId="25" borderId="98" xfId="0" applyNumberFormat="1" applyFont="1" applyFill="1" applyBorder="1" applyAlignment="1">
      <alignment horizontal="right" vertical="center" shrinkToFit="1"/>
    </xf>
    <xf numFmtId="0" fontId="83" fillId="0" borderId="224" xfId="0" applyFont="1" applyFill="1" applyBorder="1" applyAlignment="1">
      <alignment horizontal="center" vertical="center" shrinkToFit="1"/>
    </xf>
    <xf numFmtId="0" fontId="83" fillId="29" borderId="225" xfId="0" applyFont="1" applyFill="1" applyBorder="1" applyAlignment="1">
      <alignment horizontal="center" vertical="center" shrinkToFit="1"/>
    </xf>
    <xf numFmtId="0" fontId="83" fillId="29" borderId="225" xfId="0" applyFont="1" applyFill="1" applyBorder="1" applyAlignment="1">
      <alignment horizontal="left" vertical="center" shrinkToFit="1"/>
    </xf>
    <xf numFmtId="38" fontId="83" fillId="0" borderId="231" xfId="0" applyNumberFormat="1" applyFont="1" applyFill="1" applyBorder="1" applyAlignment="1">
      <alignment horizontal="right" vertical="center"/>
    </xf>
    <xf numFmtId="38" fontId="83" fillId="0" borderId="231" xfId="0" applyNumberFormat="1" applyFont="1" applyFill="1" applyBorder="1" applyAlignment="1">
      <alignment horizontal="right" vertical="center" shrinkToFit="1"/>
    </xf>
    <xf numFmtId="38" fontId="83" fillId="0" borderId="232" xfId="0" applyNumberFormat="1" applyFont="1" applyFill="1" applyBorder="1" applyAlignment="1">
      <alignment horizontal="right" vertical="center" shrinkToFit="1"/>
    </xf>
    <xf numFmtId="0" fontId="83" fillId="0" borderId="231" xfId="0" applyFont="1" applyFill="1" applyBorder="1" applyAlignment="1">
      <alignment horizontal="left" vertical="center" shrinkToFit="1"/>
    </xf>
    <xf numFmtId="193" fontId="83" fillId="0" borderId="231" xfId="0" applyNumberFormat="1" applyFont="1" applyFill="1" applyBorder="1" applyAlignment="1">
      <alignment vertical="center" shrinkToFit="1"/>
    </xf>
    <xf numFmtId="10" fontId="83" fillId="0" borderId="82" xfId="0" applyNumberFormat="1" applyFont="1" applyFill="1" applyBorder="1" applyAlignment="1">
      <alignment horizontal="center" vertical="center"/>
    </xf>
    <xf numFmtId="38" fontId="106" fillId="0" borderId="82" xfId="0" applyNumberFormat="1" applyFont="1" applyFill="1" applyBorder="1" applyAlignment="1">
      <alignment horizontal="right" vertical="center"/>
    </xf>
    <xf numFmtId="10" fontId="83" fillId="0" borderId="82" xfId="0" applyNumberFormat="1" applyFont="1" applyFill="1" applyBorder="1" applyAlignment="1">
      <alignment horizontal="left" vertical="center" shrinkToFit="1"/>
    </xf>
    <xf numFmtId="10" fontId="83" fillId="0" borderId="200" xfId="0" applyNumberFormat="1" applyFont="1" applyFill="1" applyBorder="1" applyAlignment="1">
      <alignment horizontal="left" vertical="center" shrinkToFit="1"/>
    </xf>
    <xf numFmtId="10" fontId="83" fillId="0" borderId="0" xfId="0" applyNumberFormat="1" applyFont="1" applyFill="1" applyBorder="1" applyAlignment="1">
      <alignment horizontal="left" vertical="center" shrinkToFit="1"/>
    </xf>
    <xf numFmtId="0" fontId="83" fillId="0" borderId="95" xfId="0" applyFont="1" applyFill="1" applyBorder="1" applyAlignment="1">
      <alignment horizontal="left" vertical="center" shrinkToFit="1"/>
    </xf>
    <xf numFmtId="193" fontId="83" fillId="0" borderId="95" xfId="0" applyNumberFormat="1" applyFont="1" applyFill="1" applyBorder="1" applyAlignment="1">
      <alignment vertical="center" shrinkToFit="1"/>
    </xf>
    <xf numFmtId="10" fontId="83" fillId="0" borderId="23" xfId="0" applyNumberFormat="1" applyFont="1" applyFill="1" applyBorder="1" applyAlignment="1">
      <alignment horizontal="center" vertical="center"/>
    </xf>
    <xf numFmtId="38" fontId="83" fillId="0" borderId="23" xfId="0" applyNumberFormat="1" applyFont="1" applyFill="1" applyBorder="1" applyAlignment="1">
      <alignment horizontal="right" vertical="center"/>
    </xf>
    <xf numFmtId="38" fontId="83" fillId="0" borderId="95" xfId="0" applyNumberFormat="1" applyFont="1" applyFill="1" applyBorder="1" applyAlignment="1">
      <alignment horizontal="right" vertical="center" shrinkToFit="1"/>
    </xf>
    <xf numFmtId="0" fontId="83" fillId="0" borderId="120" xfId="0" applyFont="1" applyFill="1" applyBorder="1" applyAlignment="1">
      <alignment horizontal="left" vertical="center" shrinkToFit="1"/>
    </xf>
    <xf numFmtId="0" fontId="83" fillId="0" borderId="139" xfId="0" applyFont="1" applyFill="1" applyBorder="1" applyAlignment="1">
      <alignment vertical="center"/>
    </xf>
    <xf numFmtId="38" fontId="106" fillId="0" borderId="23" xfId="0" applyNumberFormat="1" applyFont="1" applyFill="1" applyBorder="1" applyAlignment="1">
      <alignment horizontal="right" vertical="center"/>
    </xf>
    <xf numFmtId="10" fontId="83" fillId="0" borderId="23" xfId="0" applyNumberFormat="1" applyFont="1" applyFill="1" applyBorder="1" applyAlignment="1">
      <alignment horizontal="left" vertical="center" shrinkToFit="1"/>
    </xf>
    <xf numFmtId="10" fontId="83" fillId="0" borderId="31" xfId="0" applyNumberFormat="1" applyFont="1" applyFill="1" applyBorder="1" applyAlignment="1">
      <alignment horizontal="left" vertical="center" shrinkToFit="1"/>
    </xf>
    <xf numFmtId="38" fontId="83" fillId="0" borderId="99" xfId="0" applyNumberFormat="1" applyFont="1" applyFill="1" applyBorder="1" applyAlignment="1">
      <alignment horizontal="right" vertical="center" shrinkToFit="1"/>
    </xf>
    <xf numFmtId="10" fontId="83" fillId="0" borderId="95" xfId="0" applyNumberFormat="1" applyFont="1" applyFill="1" applyBorder="1" applyAlignment="1">
      <alignment horizontal="center" vertical="center"/>
    </xf>
    <xf numFmtId="0" fontId="83" fillId="29" borderId="228" xfId="0" applyFont="1" applyFill="1" applyBorder="1" applyAlignment="1">
      <alignment horizontal="center" vertical="center" textRotation="255"/>
    </xf>
    <xf numFmtId="38" fontId="91" fillId="0" borderId="95" xfId="0" applyNumberFormat="1" applyFont="1" applyFill="1" applyBorder="1" applyAlignment="1">
      <alignment horizontal="right" vertical="center" shrinkToFit="1"/>
    </xf>
    <xf numFmtId="38" fontId="91" fillId="0" borderId="99" xfId="0" applyNumberFormat="1" applyFont="1" applyFill="1" applyBorder="1" applyAlignment="1">
      <alignment horizontal="right" vertical="center" shrinkToFit="1"/>
    </xf>
    <xf numFmtId="193" fontId="83" fillId="0" borderId="23" xfId="0" applyNumberFormat="1" applyFont="1" applyFill="1" applyBorder="1" applyAlignment="1">
      <alignment vertical="center" shrinkToFit="1"/>
    </xf>
    <xf numFmtId="0" fontId="83" fillId="29" borderId="289" xfId="0" applyFont="1" applyFill="1" applyBorder="1" applyAlignment="1">
      <alignment horizontal="center" vertical="center" shrinkToFit="1"/>
    </xf>
    <xf numFmtId="193" fontId="83" fillId="0" borderId="290" xfId="0" applyNumberFormat="1" applyFont="1" applyFill="1" applyBorder="1" applyAlignment="1">
      <alignment vertical="center" shrinkToFit="1"/>
    </xf>
    <xf numFmtId="10" fontId="83" fillId="0" borderId="290" xfId="0" applyNumberFormat="1" applyFont="1" applyFill="1" applyBorder="1" applyAlignment="1">
      <alignment horizontal="right" vertical="center" shrinkToFit="1"/>
    </xf>
    <xf numFmtId="0" fontId="83" fillId="0" borderId="240" xfId="0" applyFont="1" applyFill="1" applyBorder="1" applyAlignment="1">
      <alignment horizontal="right" vertical="center"/>
    </xf>
    <xf numFmtId="0" fontId="83" fillId="0" borderId="241" xfId="0" applyFont="1" applyFill="1" applyBorder="1" applyAlignment="1">
      <alignment horizontal="right" vertical="center"/>
    </xf>
    <xf numFmtId="0" fontId="83" fillId="0" borderId="241" xfId="0" applyFont="1" applyFill="1" applyBorder="1" applyAlignment="1">
      <alignment horizontal="left" vertical="center"/>
    </xf>
    <xf numFmtId="0" fontId="83" fillId="0" borderId="242" xfId="0" applyFont="1" applyFill="1" applyBorder="1" applyAlignment="1">
      <alignment horizontal="left" vertical="center"/>
    </xf>
    <xf numFmtId="0" fontId="83" fillId="0" borderId="242" xfId="0" applyFont="1" applyFill="1" applyBorder="1" applyAlignment="1">
      <alignment horizontal="right" vertical="center"/>
    </xf>
    <xf numFmtId="38" fontId="83" fillId="0" borderId="242" xfId="0" applyNumberFormat="1" applyFont="1" applyFill="1" applyBorder="1" applyAlignment="1">
      <alignment horizontal="right" vertical="center"/>
    </xf>
    <xf numFmtId="38" fontId="83" fillId="0" borderId="242" xfId="0" applyNumberFormat="1" applyFont="1" applyFill="1" applyBorder="1" applyAlignment="1">
      <alignment horizontal="right" vertical="center" shrinkToFit="1"/>
    </xf>
    <xf numFmtId="38" fontId="83" fillId="0" borderId="243" xfId="0" applyNumberFormat="1" applyFont="1" applyFill="1" applyBorder="1" applyAlignment="1">
      <alignment horizontal="right" vertical="center" shrinkToFit="1"/>
    </xf>
    <xf numFmtId="0" fontId="78" fillId="29" borderId="0" xfId="0" applyFont="1" applyFill="1" applyBorder="1" applyAlignment="1">
      <alignment horizontal="center" vertical="center" textRotation="255"/>
    </xf>
    <xf numFmtId="0" fontId="87" fillId="29" borderId="0" xfId="0" applyFont="1" applyFill="1" applyBorder="1" applyAlignment="1">
      <alignment horizontal="left" vertical="center" shrinkToFit="1"/>
    </xf>
    <xf numFmtId="0" fontId="78" fillId="29" borderId="0" xfId="0" applyFont="1" applyFill="1" applyBorder="1" applyAlignment="1">
      <alignment horizontal="left" vertical="center" shrinkToFit="1"/>
    </xf>
    <xf numFmtId="38" fontId="78" fillId="29" borderId="0" xfId="0" applyNumberFormat="1" applyFont="1" applyFill="1" applyBorder="1" applyAlignment="1">
      <alignment horizontal="right" vertical="center"/>
    </xf>
    <xf numFmtId="38" fontId="78" fillId="11" borderId="0" xfId="0" applyNumberFormat="1" applyFont="1" applyFill="1" applyBorder="1" applyAlignment="1">
      <alignment horizontal="right" vertical="center" shrinkToFit="1"/>
    </xf>
    <xf numFmtId="0" fontId="108" fillId="0" borderId="0" xfId="0" applyFont="1" applyFill="1" applyBorder="1" applyAlignment="1">
      <alignment horizontal="left" vertical="center"/>
    </xf>
    <xf numFmtId="0" fontId="78" fillId="0" borderId="231" xfId="0" applyFont="1" applyFill="1" applyBorder="1" applyAlignment="1">
      <alignment horizontal="center" vertical="center"/>
    </xf>
    <xf numFmtId="0" fontId="78" fillId="0" borderId="231" xfId="0" applyFont="1" applyFill="1" applyBorder="1" applyAlignment="1">
      <alignment horizontal="center" vertical="center" shrinkToFit="1"/>
    </xf>
    <xf numFmtId="0" fontId="78" fillId="0" borderId="248" xfId="0" applyFont="1" applyFill="1" applyBorder="1" applyAlignment="1">
      <alignment horizontal="center" vertical="center" shrinkToFit="1"/>
    </xf>
    <xf numFmtId="38" fontId="78" fillId="0" borderId="89" xfId="0" applyNumberFormat="1" applyFont="1" applyFill="1" applyBorder="1" applyAlignment="1">
      <alignment horizontal="right" vertical="center"/>
    </xf>
    <xf numFmtId="38" fontId="78" fillId="0" borderId="89" xfId="0" applyNumberFormat="1" applyFont="1" applyFill="1" applyBorder="1" applyAlignment="1">
      <alignment horizontal="right" vertical="center" shrinkToFit="1"/>
    </xf>
    <xf numFmtId="38" fontId="78" fillId="0" borderId="262" xfId="0" applyNumberFormat="1" applyFont="1" applyFill="1" applyBorder="1" applyAlignment="1">
      <alignment horizontal="right" vertical="center" shrinkToFit="1"/>
    </xf>
    <xf numFmtId="0" fontId="90" fillId="0" borderId="226" xfId="0" applyFont="1" applyFill="1" applyBorder="1" applyAlignment="1">
      <alignment horizontal="left" vertical="center" shrinkToFit="1"/>
    </xf>
    <xf numFmtId="0" fontId="78" fillId="0" borderId="83" xfId="0" applyFont="1" applyFill="1" applyBorder="1" applyAlignment="1">
      <alignment vertical="center"/>
    </xf>
    <xf numFmtId="0" fontId="78" fillId="0" borderId="233" xfId="0" applyFont="1" applyFill="1" applyBorder="1" applyAlignment="1">
      <alignment vertical="center"/>
    </xf>
    <xf numFmtId="10" fontId="78" fillId="0" borderId="231" xfId="0" applyNumberFormat="1" applyFont="1" applyFill="1" applyBorder="1" applyAlignment="1">
      <alignment horizontal="right" vertical="center" shrinkToFit="1"/>
    </xf>
    <xf numFmtId="38" fontId="78" fillId="0" borderId="231" xfId="0" applyNumberFormat="1" applyFont="1" applyFill="1" applyBorder="1" applyAlignment="1">
      <alignment horizontal="right" vertical="center"/>
    </xf>
    <xf numFmtId="38" fontId="91" fillId="25" borderId="231" xfId="0" applyNumberFormat="1" applyFont="1" applyFill="1" applyBorder="1" applyAlignment="1">
      <alignment horizontal="right" vertical="center" shrinkToFit="1"/>
    </xf>
    <xf numFmtId="38" fontId="91" fillId="25" borderId="232" xfId="0" applyNumberFormat="1" applyFont="1" applyFill="1" applyBorder="1" applyAlignment="1">
      <alignment horizontal="right" vertical="center" shrinkToFit="1"/>
    </xf>
    <xf numFmtId="0" fontId="78" fillId="0" borderId="287" xfId="0" applyFont="1" applyFill="1" applyBorder="1" applyAlignment="1">
      <alignment horizontal="center" vertical="center" shrinkToFit="1"/>
    </xf>
    <xf numFmtId="10" fontId="78" fillId="0" borderId="82" xfId="0" quotePrefix="1" applyNumberFormat="1" applyFont="1" applyFill="1" applyBorder="1" applyAlignment="1">
      <alignment horizontal="center" vertical="center" shrinkToFit="1"/>
    </xf>
    <xf numFmtId="38" fontId="78" fillId="0" borderId="82" xfId="0" applyNumberFormat="1" applyFont="1" applyFill="1" applyBorder="1" applyAlignment="1">
      <alignment horizontal="right" vertical="center" shrinkToFit="1"/>
    </xf>
    <xf numFmtId="38" fontId="78" fillId="0" borderId="200" xfId="0" applyNumberFormat="1" applyFont="1" applyFill="1" applyBorder="1" applyAlignment="1">
      <alignment horizontal="right" vertical="center" shrinkToFit="1"/>
    </xf>
    <xf numFmtId="0" fontId="78" fillId="0" borderId="149" xfId="0" applyFont="1" applyFill="1" applyBorder="1" applyAlignment="1">
      <alignment horizontal="center" vertical="center" shrinkToFit="1"/>
    </xf>
    <xf numFmtId="192" fontId="78" fillId="0" borderId="23" xfId="0" applyNumberFormat="1" applyFont="1" applyFill="1" applyBorder="1" applyAlignment="1">
      <alignment horizontal="right" vertical="center" shrinkToFit="1"/>
    </xf>
    <xf numFmtId="10" fontId="78" fillId="0" borderId="23" xfId="0" quotePrefix="1" applyNumberFormat="1" applyFont="1" applyFill="1" applyBorder="1" applyAlignment="1">
      <alignment horizontal="center" vertical="center" shrinkToFit="1"/>
    </xf>
    <xf numFmtId="38" fontId="78" fillId="0" borderId="23" xfId="0" applyNumberFormat="1" applyFont="1" applyFill="1" applyBorder="1" applyAlignment="1">
      <alignment horizontal="right" vertical="center"/>
    </xf>
    <xf numFmtId="0" fontId="93" fillId="29" borderId="142" xfId="0" applyFont="1" applyFill="1" applyBorder="1" applyAlignment="1">
      <alignment horizontal="left" vertical="center"/>
    </xf>
    <xf numFmtId="0" fontId="93" fillId="29" borderId="142" xfId="0" applyFont="1" applyFill="1" applyBorder="1" applyAlignment="1">
      <alignment horizontal="left" vertical="center" shrinkToFit="1"/>
    </xf>
    <xf numFmtId="10" fontId="78" fillId="11" borderId="23" xfId="0" applyNumberFormat="1" applyFont="1" applyFill="1" applyBorder="1" applyAlignment="1">
      <alignment horizontal="right" vertical="center" shrinkToFit="1"/>
    </xf>
    <xf numFmtId="0" fontId="78" fillId="0" borderId="261" xfId="0" applyFont="1" applyFill="1" applyBorder="1" applyAlignment="1">
      <alignment horizontal="center" vertical="center" shrinkToFit="1"/>
    </xf>
    <xf numFmtId="0" fontId="78" fillId="29" borderId="203" xfId="0" applyFont="1" applyFill="1" applyBorder="1" applyAlignment="1">
      <alignment horizontal="center" vertical="center" shrinkToFit="1"/>
    </xf>
    <xf numFmtId="0" fontId="82" fillId="29" borderId="85" xfId="0" applyFont="1" applyFill="1" applyBorder="1" applyAlignment="1">
      <alignment horizontal="left" vertical="center" shrinkToFit="1"/>
    </xf>
    <xf numFmtId="192" fontId="78" fillId="0" borderId="85" xfId="0" applyNumberFormat="1" applyFont="1" applyFill="1" applyBorder="1" applyAlignment="1">
      <alignment horizontal="right" vertical="center" shrinkToFit="1"/>
    </xf>
    <xf numFmtId="10" fontId="78" fillId="0" borderId="85" xfId="0" applyNumberFormat="1" applyFont="1" applyFill="1" applyBorder="1" applyAlignment="1">
      <alignment horizontal="right" vertical="center" shrinkToFit="1"/>
    </xf>
    <xf numFmtId="38" fontId="78" fillId="0" borderId="85" xfId="0" applyNumberFormat="1" applyFont="1" applyFill="1" applyBorder="1" applyAlignment="1">
      <alignment horizontal="right" vertical="center"/>
    </xf>
    <xf numFmtId="38" fontId="78" fillId="0" borderId="85" xfId="0" applyNumberFormat="1" applyFont="1" applyFill="1" applyBorder="1" applyAlignment="1">
      <alignment horizontal="right" vertical="center" shrinkToFit="1"/>
    </xf>
    <xf numFmtId="38" fontId="78" fillId="0" borderId="98" xfId="0" applyNumberFormat="1" applyFont="1" applyFill="1" applyBorder="1" applyAlignment="1">
      <alignment horizontal="right" vertical="center" shrinkToFit="1"/>
    </xf>
    <xf numFmtId="0" fontId="90" fillId="0" borderId="14" xfId="0" applyFont="1" applyFill="1" applyBorder="1" applyAlignment="1">
      <alignment horizontal="left" vertical="center"/>
    </xf>
    <xf numFmtId="0" fontId="90" fillId="0" borderId="15" xfId="0" applyFont="1" applyFill="1" applyBorder="1" applyAlignment="1">
      <alignment horizontal="left" vertical="center"/>
    </xf>
    <xf numFmtId="0" fontId="90" fillId="0" borderId="15" xfId="0" applyFont="1" applyFill="1" applyBorder="1" applyAlignment="1">
      <alignment horizontal="left" vertical="center" shrinkToFit="1"/>
    </xf>
    <xf numFmtId="0" fontId="78" fillId="0" borderId="15" xfId="0" applyFont="1" applyFill="1" applyBorder="1" applyAlignment="1">
      <alignment vertical="center"/>
    </xf>
    <xf numFmtId="38" fontId="78" fillId="0" borderId="15" xfId="0" applyNumberFormat="1" applyFont="1" applyFill="1" applyBorder="1" applyAlignment="1">
      <alignment horizontal="right" vertical="center"/>
    </xf>
    <xf numFmtId="38" fontId="78" fillId="0" borderId="15" xfId="0" applyNumberFormat="1" applyFont="1" applyFill="1" applyBorder="1" applyAlignment="1">
      <alignment horizontal="right" vertical="center" shrinkToFit="1"/>
    </xf>
    <xf numFmtId="38" fontId="78" fillId="0" borderId="123" xfId="0" applyNumberFormat="1" applyFont="1" applyFill="1" applyBorder="1" applyAlignment="1">
      <alignment horizontal="right" vertical="center" shrinkToFit="1"/>
    </xf>
    <xf numFmtId="0" fontId="87" fillId="0" borderId="229" xfId="0" applyFont="1" applyFill="1" applyBorder="1" applyAlignment="1">
      <alignment horizontal="left" vertical="center" shrinkToFit="1"/>
    </xf>
    <xf numFmtId="193" fontId="87" fillId="0" borderId="231" xfId="0" applyNumberFormat="1" applyFont="1" applyFill="1" applyBorder="1" applyAlignment="1">
      <alignment vertical="center" shrinkToFit="1"/>
    </xf>
    <xf numFmtId="10" fontId="87" fillId="0" borderId="82" xfId="0" applyNumberFormat="1" applyFont="1" applyFill="1" applyBorder="1" applyAlignment="1">
      <alignment horizontal="center" vertical="center"/>
    </xf>
    <xf numFmtId="38" fontId="92" fillId="0" borderId="82" xfId="0" applyNumberFormat="1" applyFont="1" applyFill="1" applyBorder="1" applyAlignment="1">
      <alignment horizontal="right" vertical="center"/>
    </xf>
    <xf numFmtId="10" fontId="87" fillId="0" borderId="82" xfId="0" applyNumberFormat="1" applyFont="1" applyFill="1" applyBorder="1" applyAlignment="1">
      <alignment horizontal="left" vertical="center" shrinkToFit="1"/>
    </xf>
    <xf numFmtId="10" fontId="87" fillId="0" borderId="200" xfId="0" applyNumberFormat="1" applyFont="1" applyFill="1" applyBorder="1" applyAlignment="1">
      <alignment horizontal="left" vertical="center" shrinkToFit="1"/>
    </xf>
    <xf numFmtId="0" fontId="87" fillId="0" borderId="156" xfId="0" applyFont="1" applyFill="1" applyBorder="1" applyAlignment="1">
      <alignment horizontal="left" vertical="center" shrinkToFit="1"/>
    </xf>
    <xf numFmtId="193" fontId="109" fillId="0" borderId="95" xfId="0" applyNumberFormat="1" applyFont="1" applyFill="1" applyBorder="1" applyAlignment="1">
      <alignment vertical="center" shrinkToFit="1"/>
    </xf>
    <xf numFmtId="10" fontId="87" fillId="0" borderId="23" xfId="0" applyNumberFormat="1" applyFont="1" applyFill="1" applyBorder="1" applyAlignment="1">
      <alignment horizontal="center" vertical="center"/>
    </xf>
    <xf numFmtId="38" fontId="87" fillId="0" borderId="95" xfId="0" applyNumberFormat="1" applyFont="1" applyFill="1" applyBorder="1" applyAlignment="1">
      <alignment horizontal="right" vertical="center" shrinkToFit="1"/>
    </xf>
    <xf numFmtId="38" fontId="87" fillId="0" borderId="99" xfId="0" applyNumberFormat="1" applyFont="1" applyFill="1" applyBorder="1" applyAlignment="1">
      <alignment horizontal="right" vertical="center" shrinkToFit="1"/>
    </xf>
    <xf numFmtId="0" fontId="87" fillId="0" borderId="201" xfId="0" applyFont="1" applyFill="1" applyBorder="1" applyAlignment="1">
      <alignment horizontal="left" vertical="center" shrinkToFit="1"/>
    </xf>
    <xf numFmtId="38" fontId="92" fillId="0" borderId="23" xfId="0" applyNumberFormat="1" applyFont="1" applyFill="1" applyBorder="1" applyAlignment="1">
      <alignment horizontal="right" vertical="center"/>
    </xf>
    <xf numFmtId="10" fontId="87" fillId="0" borderId="23" xfId="2" applyNumberFormat="1" applyFont="1" applyFill="1" applyBorder="1" applyAlignment="1">
      <alignment horizontal="left" vertical="center" shrinkToFit="1"/>
    </xf>
    <xf numFmtId="10" fontId="87" fillId="0" borderId="31" xfId="2" applyNumberFormat="1" applyFont="1" applyFill="1" applyBorder="1" applyAlignment="1">
      <alignment horizontal="left" vertical="center" shrinkToFit="1"/>
    </xf>
    <xf numFmtId="0" fontId="87" fillId="17" borderId="120" xfId="0" applyFont="1" applyFill="1" applyBorder="1" applyAlignment="1">
      <alignment horizontal="left" vertical="center" shrinkToFit="1"/>
    </xf>
    <xf numFmtId="193" fontId="109" fillId="17" borderId="120" xfId="0" applyNumberFormat="1" applyFont="1" applyFill="1" applyBorder="1" applyAlignment="1">
      <alignment vertical="center" shrinkToFit="1"/>
    </xf>
    <xf numFmtId="10" fontId="87" fillId="17" borderId="23" xfId="0" applyNumberFormat="1" applyFont="1" applyFill="1" applyBorder="1" applyAlignment="1">
      <alignment horizontal="center" vertical="center"/>
    </xf>
    <xf numFmtId="38" fontId="87" fillId="17" borderId="23" xfId="0" applyNumberFormat="1" applyFont="1" applyFill="1" applyBorder="1" applyAlignment="1">
      <alignment horizontal="right" vertical="center"/>
    </xf>
    <xf numFmtId="10" fontId="87" fillId="17" borderId="95" xfId="0" applyNumberFormat="1" applyFont="1" applyFill="1" applyBorder="1" applyAlignment="1">
      <alignment horizontal="left" vertical="center" shrinkToFit="1"/>
    </xf>
    <xf numFmtId="10" fontId="87" fillId="17" borderId="99" xfId="0" applyNumberFormat="1" applyFont="1" applyFill="1" applyBorder="1" applyAlignment="1">
      <alignment horizontal="left" vertical="center" shrinkToFit="1"/>
    </xf>
    <xf numFmtId="0" fontId="87" fillId="17" borderId="121" xfId="0" applyFont="1" applyFill="1" applyBorder="1" applyAlignment="1">
      <alignment horizontal="left" vertical="center" shrinkToFit="1"/>
    </xf>
    <xf numFmtId="193" fontId="109" fillId="17" borderId="121" xfId="0" applyNumberFormat="1" applyFont="1" applyFill="1" applyBorder="1" applyAlignment="1">
      <alignment vertical="center" shrinkToFit="1"/>
    </xf>
    <xf numFmtId="0" fontId="78" fillId="17" borderId="95" xfId="0" applyFont="1" applyFill="1" applyBorder="1" applyAlignment="1">
      <alignment horizontal="left" vertical="center" shrinkToFit="1"/>
    </xf>
    <xf numFmtId="192" fontId="78" fillId="17" borderId="95" xfId="0" applyNumberFormat="1" applyFont="1" applyFill="1" applyBorder="1" applyAlignment="1">
      <alignment vertical="center" shrinkToFit="1"/>
    </xf>
    <xf numFmtId="10" fontId="78" fillId="17" borderId="23" xfId="0" applyNumberFormat="1" applyFont="1" applyFill="1" applyBorder="1" applyAlignment="1">
      <alignment horizontal="right" vertical="center" shrinkToFit="1"/>
    </xf>
    <xf numFmtId="38" fontId="91" fillId="17" borderId="23" xfId="0" applyNumberFormat="1" applyFont="1" applyFill="1" applyBorder="1" applyAlignment="1">
      <alignment horizontal="right" vertical="center"/>
    </xf>
    <xf numFmtId="192" fontId="78" fillId="0" borderId="23" xfId="0" applyNumberFormat="1" applyFont="1" applyFill="1" applyBorder="1" applyAlignment="1">
      <alignment vertical="center" shrinkToFit="1"/>
    </xf>
    <xf numFmtId="10" fontId="82" fillId="0" borderId="23" xfId="0" applyNumberFormat="1" applyFont="1" applyFill="1" applyBorder="1" applyAlignment="1">
      <alignment horizontal="right" vertical="center" shrinkToFit="1"/>
    </xf>
    <xf numFmtId="38" fontId="78" fillId="0" borderId="91" xfId="0" applyNumberFormat="1" applyFont="1" applyFill="1" applyBorder="1" applyAlignment="1">
      <alignment horizontal="right" vertical="center" shrinkToFit="1"/>
    </xf>
    <xf numFmtId="9" fontId="78" fillId="0" borderId="23" xfId="0" applyNumberFormat="1" applyFont="1" applyFill="1" applyBorder="1" applyAlignment="1">
      <alignment horizontal="right" vertical="center" shrinkToFit="1"/>
    </xf>
    <xf numFmtId="0" fontId="82" fillId="29" borderId="121" xfId="0" applyFont="1" applyFill="1" applyBorder="1" applyAlignment="1">
      <alignment vertical="center" shrinkToFit="1"/>
    </xf>
    <xf numFmtId="0" fontId="82" fillId="31" borderId="23" xfId="0" applyFont="1" applyFill="1" applyBorder="1" applyAlignment="1">
      <alignment horizontal="left" vertical="center" shrinkToFit="1"/>
    </xf>
    <xf numFmtId="193" fontId="78" fillId="0" borderId="23" xfId="0" applyNumberFormat="1" applyFont="1" applyFill="1" applyBorder="1" applyAlignment="1">
      <alignment vertical="center" shrinkToFit="1"/>
    </xf>
    <xf numFmtId="38" fontId="87" fillId="31" borderId="23" xfId="0" applyNumberFormat="1" applyFont="1" applyFill="1" applyBorder="1" applyAlignment="1">
      <alignment horizontal="right" vertical="center"/>
    </xf>
    <xf numFmtId="0" fontId="82" fillId="29" borderId="95" xfId="0" applyFont="1" applyFill="1" applyBorder="1" applyAlignment="1">
      <alignment vertical="center" shrinkToFit="1"/>
    </xf>
    <xf numFmtId="0" fontId="110" fillId="31" borderId="23" xfId="0" applyFont="1" applyFill="1" applyBorder="1" applyAlignment="1">
      <alignment horizontal="left" vertical="center" shrinkToFit="1"/>
    </xf>
    <xf numFmtId="0" fontId="78" fillId="29" borderId="201" xfId="0" applyFont="1" applyFill="1" applyBorder="1" applyAlignment="1">
      <alignment horizontal="center" vertical="center" shrinkToFit="1"/>
    </xf>
    <xf numFmtId="0" fontId="82" fillId="29" borderId="120" xfId="0" applyFont="1" applyFill="1" applyBorder="1" applyAlignment="1">
      <alignment horizontal="left" vertical="center" shrinkToFit="1"/>
    </xf>
    <xf numFmtId="192" fontId="78" fillId="0" borderId="120" xfId="0" applyNumberFormat="1" applyFont="1" applyFill="1" applyBorder="1" applyAlignment="1">
      <alignment vertical="center" shrinkToFit="1"/>
    </xf>
    <xf numFmtId="10" fontId="78" fillId="0" borderId="120" xfId="0" applyNumberFormat="1" applyFont="1" applyFill="1" applyBorder="1" applyAlignment="1">
      <alignment horizontal="right" vertical="center" shrinkToFit="1"/>
    </xf>
    <xf numFmtId="0" fontId="78" fillId="0" borderId="288" xfId="0" applyFont="1" applyFill="1" applyBorder="1" applyAlignment="1">
      <alignment horizontal="center" vertical="center" shrinkToFit="1"/>
    </xf>
    <xf numFmtId="0" fontId="78" fillId="29" borderId="289" xfId="0" applyFont="1" applyFill="1" applyBorder="1" applyAlignment="1">
      <alignment horizontal="center" vertical="center" shrinkToFit="1"/>
    </xf>
    <xf numFmtId="0" fontId="78" fillId="29" borderId="290" xfId="0" applyFont="1" applyFill="1" applyBorder="1" applyAlignment="1">
      <alignment horizontal="left" vertical="center" shrinkToFit="1"/>
    </xf>
    <xf numFmtId="192" fontId="78" fillId="0" borderId="290" xfId="0" applyNumberFormat="1" applyFont="1" applyFill="1" applyBorder="1" applyAlignment="1">
      <alignment vertical="center" shrinkToFit="1"/>
    </xf>
    <xf numFmtId="38" fontId="78" fillId="0" borderId="290" xfId="0" applyNumberFormat="1" applyFont="1" applyFill="1" applyBorder="1" applyAlignment="1">
      <alignment horizontal="right" vertical="center"/>
    </xf>
    <xf numFmtId="38" fontId="78" fillId="0" borderId="290" xfId="0" applyNumberFormat="1" applyFont="1" applyFill="1" applyBorder="1" applyAlignment="1">
      <alignment horizontal="right" vertical="center" shrinkToFit="1"/>
    </xf>
    <xf numFmtId="38" fontId="78" fillId="0" borderId="33" xfId="0" applyNumberFormat="1" applyFont="1" applyFill="1" applyBorder="1" applyAlignment="1">
      <alignment horizontal="right" vertical="center" shrinkToFit="1"/>
    </xf>
    <xf numFmtId="0" fontId="78" fillId="0" borderId="240" xfId="0" applyFont="1" applyFill="1" applyBorder="1" applyAlignment="1">
      <alignment horizontal="right" vertical="center"/>
    </xf>
    <xf numFmtId="0" fontId="78" fillId="0" borderId="241" xfId="0" applyFont="1" applyFill="1" applyBorder="1" applyAlignment="1">
      <alignment horizontal="right" vertical="center"/>
    </xf>
    <xf numFmtId="0" fontId="78" fillId="0" borderId="241" xfId="0" applyFont="1" applyFill="1" applyBorder="1" applyAlignment="1">
      <alignment horizontal="left" vertical="center"/>
    </xf>
    <xf numFmtId="0" fontId="78" fillId="0" borderId="242" xfId="0" applyFont="1" applyFill="1" applyBorder="1" applyAlignment="1">
      <alignment horizontal="left" vertical="center"/>
    </xf>
    <xf numFmtId="0" fontId="78" fillId="0" borderId="242" xfId="0" applyFont="1" applyFill="1" applyBorder="1" applyAlignment="1">
      <alignment horizontal="right" vertical="center"/>
    </xf>
    <xf numFmtId="38" fontId="78" fillId="0" borderId="242" xfId="0" applyNumberFormat="1" applyFont="1" applyFill="1" applyBorder="1" applyAlignment="1">
      <alignment horizontal="right" vertical="center" shrinkToFit="1"/>
    </xf>
    <xf numFmtId="38" fontId="78" fillId="0" borderId="243" xfId="0" applyNumberFormat="1" applyFont="1" applyFill="1" applyBorder="1" applyAlignment="1">
      <alignment horizontal="right" vertical="center" shrinkToFit="1"/>
    </xf>
    <xf numFmtId="0" fontId="78" fillId="0" borderId="284" xfId="0" applyFont="1" applyFill="1" applyBorder="1" applyAlignment="1">
      <alignment horizontal="right" vertical="center"/>
    </xf>
    <xf numFmtId="0" fontId="78" fillId="0" borderId="259" xfId="0" applyFont="1" applyFill="1" applyBorder="1" applyAlignment="1">
      <alignment horizontal="right" vertical="center"/>
    </xf>
    <xf numFmtId="0" fontId="78" fillId="0" borderId="259" xfId="0" applyFont="1" applyFill="1" applyBorder="1" applyAlignment="1">
      <alignment horizontal="left" vertical="center"/>
    </xf>
    <xf numFmtId="0" fontId="78" fillId="0" borderId="89" xfId="0" applyFont="1" applyFill="1" applyBorder="1" applyAlignment="1">
      <alignment horizontal="left" vertical="center"/>
    </xf>
    <xf numFmtId="0" fontId="78" fillId="0" borderId="89" xfId="0" applyFont="1" applyFill="1" applyBorder="1" applyAlignment="1">
      <alignment horizontal="right" vertical="center"/>
    </xf>
    <xf numFmtId="38" fontId="78" fillId="0" borderId="100" xfId="0" applyNumberFormat="1" applyFont="1" applyFill="1" applyBorder="1" applyAlignment="1">
      <alignment horizontal="right" vertical="center" shrinkToFit="1"/>
    </xf>
    <xf numFmtId="0" fontId="103" fillId="0" borderId="231" xfId="0" applyFont="1" applyFill="1" applyBorder="1" applyAlignment="1">
      <alignment horizontal="center" vertical="center" wrapText="1"/>
    </xf>
    <xf numFmtId="0" fontId="78" fillId="0" borderId="232" xfId="0" applyFont="1" applyFill="1" applyBorder="1" applyAlignment="1">
      <alignment horizontal="center" vertical="center" shrinkToFit="1"/>
    </xf>
    <xf numFmtId="0" fontId="87" fillId="0" borderId="89" xfId="0" applyFont="1" applyFill="1" applyBorder="1" applyAlignment="1">
      <alignment horizontal="center" vertical="center" wrapText="1"/>
    </xf>
    <xf numFmtId="0" fontId="78" fillId="0" borderId="89" xfId="0" applyFont="1" applyFill="1" applyBorder="1" applyAlignment="1">
      <alignment horizontal="center" vertical="center"/>
    </xf>
    <xf numFmtId="0" fontId="78" fillId="0" borderId="89" xfId="0" applyFont="1" applyFill="1" applyBorder="1" applyAlignment="1">
      <alignment horizontal="center" vertical="center" shrinkToFit="1"/>
    </xf>
    <xf numFmtId="0" fontId="78" fillId="0" borderId="100" xfId="0" applyFont="1" applyFill="1" applyBorder="1" applyAlignment="1">
      <alignment horizontal="center" vertical="center" shrinkToFit="1"/>
    </xf>
    <xf numFmtId="0" fontId="78" fillId="0" borderId="177" xfId="0" applyFont="1" applyFill="1" applyBorder="1" applyAlignment="1">
      <alignment horizontal="right" vertical="center"/>
    </xf>
    <xf numFmtId="0" fontId="78" fillId="0" borderId="178" xfId="0" applyFont="1" applyFill="1" applyBorder="1" applyAlignment="1">
      <alignment horizontal="right" vertical="center"/>
    </xf>
    <xf numFmtId="0" fontId="78" fillId="0" borderId="233" xfId="0" applyFont="1" applyFill="1" applyBorder="1" applyAlignment="1">
      <alignment horizontal="left" vertical="center"/>
    </xf>
    <xf numFmtId="0" fontId="78" fillId="0" borderId="82" xfId="0" applyFont="1" applyFill="1" applyBorder="1" applyAlignment="1">
      <alignment horizontal="left" vertical="center"/>
    </xf>
    <xf numFmtId="0" fontId="78" fillId="0" borderId="82" xfId="0" applyFont="1" applyFill="1" applyBorder="1" applyAlignment="1">
      <alignment horizontal="center" vertical="center"/>
    </xf>
    <xf numFmtId="38" fontId="78" fillId="0" borderId="82" xfId="0" applyNumberFormat="1" applyFont="1" applyFill="1" applyBorder="1" applyAlignment="1">
      <alignment horizontal="right" vertical="center"/>
    </xf>
    <xf numFmtId="38" fontId="78" fillId="0" borderId="200" xfId="0" applyNumberFormat="1" applyFont="1" applyFill="1" applyBorder="1" applyAlignment="1">
      <alignment horizontal="right" vertical="center"/>
    </xf>
    <xf numFmtId="0" fontId="111" fillId="0" borderId="140" xfId="0" applyFont="1" applyFill="1" applyBorder="1" applyAlignment="1">
      <alignment horizontal="left" vertical="center"/>
    </xf>
    <xf numFmtId="0" fontId="78" fillId="0" borderId="23" xfId="0" applyFont="1" applyFill="1" applyBorder="1" applyAlignment="1">
      <alignment horizontal="left" vertical="center"/>
    </xf>
    <xf numFmtId="38" fontId="78" fillId="25" borderId="23" xfId="0" applyNumberFormat="1" applyFont="1" applyFill="1" applyBorder="1" applyAlignment="1">
      <alignment horizontal="right" vertical="center"/>
    </xf>
    <xf numFmtId="0" fontId="93" fillId="0" borderId="286" xfId="0" applyFont="1" applyFill="1" applyBorder="1" applyAlignment="1">
      <alignment horizontal="left" vertical="center"/>
    </xf>
    <xf numFmtId="0" fontId="78" fillId="0" borderId="85" xfId="0" applyFont="1" applyFill="1" applyBorder="1" applyAlignment="1">
      <alignment horizontal="left" vertical="center"/>
    </xf>
    <xf numFmtId="0" fontId="78" fillId="0" borderId="85" xfId="0" applyFont="1" applyFill="1" applyBorder="1" applyAlignment="1">
      <alignment horizontal="center" vertical="center"/>
    </xf>
    <xf numFmtId="0" fontId="78" fillId="0" borderId="231" xfId="0" applyFont="1" applyFill="1" applyBorder="1" applyAlignment="1">
      <alignment horizontal="right" vertical="center"/>
    </xf>
    <xf numFmtId="0" fontId="90" fillId="0" borderId="89" xfId="0" applyFont="1" applyFill="1" applyBorder="1" applyAlignment="1">
      <alignment horizontal="left" vertical="center"/>
    </xf>
    <xf numFmtId="0" fontId="78" fillId="0" borderId="82" xfId="0" applyFont="1" applyFill="1" applyBorder="1" applyAlignment="1">
      <alignment horizontal="center" vertical="center" shrinkToFit="1"/>
    </xf>
    <xf numFmtId="0" fontId="91" fillId="25" borderId="82" xfId="0" applyFont="1" applyFill="1" applyBorder="1" applyAlignment="1">
      <alignment horizontal="left" vertical="center" shrinkToFit="1"/>
    </xf>
    <xf numFmtId="0" fontId="78" fillId="0" borderId="82" xfId="0" applyFont="1" applyFill="1" applyBorder="1" applyAlignment="1">
      <alignment vertical="center" shrinkToFit="1"/>
    </xf>
    <xf numFmtId="10" fontId="78" fillId="0" borderId="231" xfId="0" quotePrefix="1" applyNumberFormat="1" applyFont="1" applyFill="1" applyBorder="1" applyAlignment="1">
      <alignment horizontal="right" vertical="center" shrinkToFit="1"/>
    </xf>
    <xf numFmtId="38" fontId="91" fillId="25" borderId="82" xfId="0" applyNumberFormat="1" applyFont="1" applyFill="1" applyBorder="1" applyAlignment="1">
      <alignment horizontal="right" vertical="center" shrinkToFit="1"/>
    </xf>
    <xf numFmtId="38" fontId="91" fillId="25" borderId="200" xfId="0" applyNumberFormat="1" applyFont="1" applyFill="1" applyBorder="1" applyAlignment="1">
      <alignment horizontal="right" vertical="center" shrinkToFit="1"/>
    </xf>
    <xf numFmtId="0" fontId="78" fillId="0" borderId="23" xfId="0" applyFont="1" applyFill="1" applyBorder="1" applyAlignment="1">
      <alignment horizontal="right" vertical="center"/>
    </xf>
    <xf numFmtId="10" fontId="91" fillId="25" borderId="23" xfId="0" quotePrefix="1" applyNumberFormat="1" applyFont="1" applyFill="1" applyBorder="1" applyAlignment="1">
      <alignment horizontal="right" vertical="center" shrinkToFit="1"/>
    </xf>
    <xf numFmtId="0" fontId="78" fillId="0" borderId="23" xfId="0" applyNumberFormat="1" applyFont="1" applyFill="1" applyBorder="1" applyAlignment="1">
      <alignment vertical="center" shrinkToFit="1"/>
    </xf>
    <xf numFmtId="0" fontId="78" fillId="0" borderId="23" xfId="0" applyFont="1" applyFill="1" applyBorder="1" applyAlignment="1">
      <alignment horizontal="right" vertical="center" shrinkToFit="1"/>
    </xf>
    <xf numFmtId="0" fontId="91" fillId="25" borderId="23" xfId="0" quotePrefix="1" applyFont="1" applyFill="1" applyBorder="1" applyAlignment="1">
      <alignment vertical="center"/>
    </xf>
    <xf numFmtId="0" fontId="87" fillId="0" borderId="23" xfId="0" applyFont="1" applyFill="1" applyBorder="1" applyAlignment="1">
      <alignment horizontal="left" vertical="center"/>
    </xf>
    <xf numFmtId="0" fontId="78" fillId="0" borderId="23" xfId="0" applyFont="1" applyFill="1" applyBorder="1" applyAlignment="1">
      <alignment vertical="center" shrinkToFit="1"/>
    </xf>
    <xf numFmtId="0" fontId="78" fillId="0" borderId="23" xfId="0" applyFont="1" applyFill="1" applyBorder="1" applyAlignment="1">
      <alignment horizontal="left" vertical="center" shrinkToFit="1"/>
    </xf>
    <xf numFmtId="0" fontId="78" fillId="0" borderId="120" xfId="0" applyFont="1" applyFill="1" applyBorder="1" applyAlignment="1">
      <alignment horizontal="left" vertical="center"/>
    </xf>
    <xf numFmtId="0" fontId="78" fillId="0" borderId="85" xfId="0" applyFont="1" applyFill="1" applyBorder="1" applyAlignment="1">
      <alignment horizontal="left" vertical="center" shrinkToFit="1"/>
    </xf>
    <xf numFmtId="9" fontId="78" fillId="0" borderId="85" xfId="0" applyNumberFormat="1" applyFont="1" applyFill="1" applyBorder="1" applyAlignment="1">
      <alignment horizontal="right" vertical="center" shrinkToFit="1"/>
    </xf>
    <xf numFmtId="0" fontId="78" fillId="0" borderId="229" xfId="0" applyFont="1" applyFill="1" applyBorder="1" applyAlignment="1">
      <alignment horizontal="right" vertical="center"/>
    </xf>
    <xf numFmtId="0" fontId="78" fillId="0" borderId="231" xfId="0" applyFont="1" applyFill="1" applyBorder="1" applyAlignment="1">
      <alignment horizontal="right" vertical="center" shrinkToFit="1"/>
    </xf>
    <xf numFmtId="0" fontId="78" fillId="0" borderId="82" xfId="0" applyFont="1" applyFill="1" applyBorder="1" applyAlignment="1">
      <alignment horizontal="right" vertical="center" shrinkToFit="1"/>
    </xf>
    <xf numFmtId="0" fontId="90" fillId="0" borderId="89" xfId="0" applyFont="1" applyFill="1" applyBorder="1" applyAlignment="1">
      <alignment horizontal="left" vertical="center" shrinkToFit="1"/>
    </xf>
    <xf numFmtId="0" fontId="78" fillId="0" borderId="85" xfId="0" applyFont="1" applyFill="1" applyBorder="1" applyAlignment="1">
      <alignment horizontal="right" vertical="center" shrinkToFit="1"/>
    </xf>
    <xf numFmtId="0" fontId="78" fillId="0" borderId="95" xfId="0" applyFont="1" applyFill="1" applyBorder="1" applyAlignment="1">
      <alignment horizontal="center" vertical="center" shrinkToFit="1"/>
    </xf>
    <xf numFmtId="0" fontId="78" fillId="0" borderId="95" xfId="0" quotePrefix="1" applyFont="1" applyFill="1" applyBorder="1" applyAlignment="1">
      <alignment horizontal="left" vertical="center" shrinkToFit="1"/>
    </xf>
    <xf numFmtId="10" fontId="78" fillId="0" borderId="82" xfId="0" applyNumberFormat="1" applyFont="1" applyFill="1" applyBorder="1" applyAlignment="1">
      <alignment horizontal="right" vertical="center" shrinkToFit="1"/>
    </xf>
    <xf numFmtId="0" fontId="78" fillId="0" borderId="23" xfId="0" applyFont="1" applyFill="1" applyBorder="1" applyAlignment="1">
      <alignment vertical="center"/>
    </xf>
    <xf numFmtId="0" fontId="78" fillId="0" borderId="23" xfId="0" quotePrefix="1" applyFont="1" applyFill="1" applyBorder="1" applyAlignment="1">
      <alignment vertical="center"/>
    </xf>
    <xf numFmtId="0" fontId="78" fillId="0" borderId="82" xfId="0" applyFont="1" applyFill="1" applyBorder="1" applyAlignment="1">
      <alignment horizontal="right" vertical="center"/>
    </xf>
    <xf numFmtId="0" fontId="78" fillId="0" borderId="142" xfId="0" applyFont="1" applyFill="1" applyBorder="1" applyAlignment="1">
      <alignment horizontal="left" vertical="center"/>
    </xf>
    <xf numFmtId="0" fontId="78" fillId="0" borderId="295" xfId="0" applyFont="1" applyFill="1" applyBorder="1" applyAlignment="1">
      <alignment horizontal="right" vertical="center"/>
    </xf>
    <xf numFmtId="0" fontId="78" fillId="0" borderId="296" xfId="0" applyFont="1" applyFill="1" applyBorder="1" applyAlignment="1">
      <alignment horizontal="right" vertical="center"/>
    </xf>
    <xf numFmtId="0" fontId="78" fillId="0" borderId="296" xfId="0" applyFont="1" applyFill="1" applyBorder="1" applyAlignment="1">
      <alignment horizontal="left" vertical="center"/>
    </xf>
    <xf numFmtId="0" fontId="78" fillId="0" borderId="290" xfId="0" applyFont="1" applyFill="1" applyBorder="1" applyAlignment="1">
      <alignment horizontal="left" vertical="center"/>
    </xf>
    <xf numFmtId="0" fontId="78" fillId="0" borderId="290" xfId="0" applyFont="1" applyFill="1" applyBorder="1" applyAlignment="1">
      <alignment horizontal="right" vertical="center"/>
    </xf>
    <xf numFmtId="0" fontId="78" fillId="0" borderId="121" xfId="0" applyFont="1" applyFill="1" applyBorder="1" applyAlignment="1">
      <alignment horizontal="right" vertical="center"/>
    </xf>
    <xf numFmtId="38" fontId="78" fillId="0" borderId="121" xfId="0" applyNumberFormat="1" applyFont="1" applyFill="1" applyBorder="1" applyAlignment="1">
      <alignment horizontal="right" vertical="center"/>
    </xf>
    <xf numFmtId="38" fontId="78" fillId="0" borderId="121" xfId="0" applyNumberFormat="1" applyFont="1" applyFill="1" applyBorder="1" applyAlignment="1">
      <alignment horizontal="right" vertical="center" shrinkToFit="1"/>
    </xf>
    <xf numFmtId="38" fontId="78" fillId="0" borderId="204" xfId="0" applyNumberFormat="1" applyFont="1" applyFill="1" applyBorder="1" applyAlignment="1">
      <alignment horizontal="right" vertical="center" shrinkToFit="1"/>
    </xf>
    <xf numFmtId="176" fontId="87" fillId="0" borderId="23" xfId="0" applyNumberFormat="1" applyFont="1" applyFill="1" applyBorder="1" applyAlignment="1">
      <alignment vertical="center"/>
    </xf>
    <xf numFmtId="0" fontId="87" fillId="0" borderId="115" xfId="0" applyFont="1" applyFill="1" applyBorder="1" applyAlignment="1">
      <alignment vertical="center"/>
    </xf>
    <xf numFmtId="0" fontId="87" fillId="0" borderId="23" xfId="0" applyFont="1" applyFill="1" applyBorder="1" applyAlignment="1">
      <alignment vertical="center"/>
    </xf>
    <xf numFmtId="38" fontId="87" fillId="0" borderId="23" xfId="0" applyNumberFormat="1" applyFont="1" applyFill="1" applyBorder="1" applyAlignment="1">
      <alignment vertical="center"/>
    </xf>
    <xf numFmtId="38" fontId="87" fillId="0" borderId="23" xfId="0" applyNumberFormat="1" applyFont="1" applyFill="1" applyBorder="1" applyAlignment="1">
      <alignment vertical="center" shrinkToFit="1"/>
    </xf>
    <xf numFmtId="38" fontId="87" fillId="0" borderId="31" xfId="0" applyNumberFormat="1" applyFont="1" applyFill="1" applyBorder="1" applyAlignment="1">
      <alignment vertical="center" shrinkToFit="1"/>
    </xf>
    <xf numFmtId="0" fontId="87" fillId="0" borderId="284" xfId="0" applyFont="1" applyFill="1" applyBorder="1" applyAlignment="1">
      <alignment vertical="center"/>
    </xf>
    <xf numFmtId="0" fontId="87" fillId="0" borderId="259" xfId="0" applyFont="1" applyFill="1" applyBorder="1" applyAlignment="1">
      <alignment vertical="center"/>
    </xf>
    <xf numFmtId="0" fontId="87" fillId="0" borderId="89" xfId="0" applyFont="1" applyFill="1" applyBorder="1" applyAlignment="1">
      <alignment vertical="center"/>
    </xf>
    <xf numFmtId="176" fontId="87" fillId="0" borderId="89" xfId="0" applyNumberFormat="1" applyFont="1" applyFill="1" applyBorder="1" applyAlignment="1">
      <alignment vertical="center"/>
    </xf>
    <xf numFmtId="176" fontId="87" fillId="0" borderId="89" xfId="0" applyNumberFormat="1" applyFont="1" applyFill="1" applyBorder="1" applyAlignment="1">
      <alignment vertical="center" shrinkToFit="1"/>
    </xf>
    <xf numFmtId="176" fontId="87" fillId="0" borderId="100" xfId="0" applyNumberFormat="1" applyFont="1" applyFill="1" applyBorder="1" applyAlignment="1">
      <alignment vertical="center" shrinkToFit="1"/>
    </xf>
    <xf numFmtId="0" fontId="87" fillId="0" borderId="225" xfId="0" applyFont="1" applyFill="1" applyBorder="1" applyAlignment="1">
      <alignment vertical="center"/>
    </xf>
    <xf numFmtId="176" fontId="87" fillId="0" borderId="225" xfId="0" applyNumberFormat="1" applyFont="1" applyFill="1" applyBorder="1" applyAlignment="1">
      <alignment vertical="center"/>
    </xf>
    <xf numFmtId="176" fontId="87" fillId="0" borderId="225" xfId="0" applyNumberFormat="1" applyFont="1" applyFill="1" applyBorder="1" applyAlignment="1">
      <alignment vertical="center" shrinkToFit="1"/>
    </xf>
    <xf numFmtId="0" fontId="87" fillId="0" borderId="125" xfId="0" applyFont="1" applyBorder="1" applyAlignment="1">
      <alignment vertical="center"/>
    </xf>
    <xf numFmtId="0" fontId="87" fillId="0" borderId="298" xfId="0" applyFont="1" applyBorder="1" applyAlignment="1">
      <alignment vertical="center"/>
    </xf>
    <xf numFmtId="0" fontId="89" fillId="0" borderId="51" xfId="0" applyFont="1" applyBorder="1" applyAlignment="1">
      <alignment vertical="center"/>
    </xf>
    <xf numFmtId="0" fontId="87" fillId="0" borderId="124" xfId="0" applyFont="1" applyBorder="1" applyAlignment="1">
      <alignment vertical="center"/>
    </xf>
    <xf numFmtId="0" fontId="87" fillId="0" borderId="111" xfId="0" applyFont="1" applyBorder="1" applyAlignment="1">
      <alignment horizontal="center" vertical="center" shrinkToFit="1"/>
    </xf>
    <xf numFmtId="194" fontId="87" fillId="0" borderId="111" xfId="0" applyNumberFormat="1" applyFont="1" applyFill="1" applyBorder="1" applyAlignment="1">
      <alignment horizontal="center" vertical="center"/>
    </xf>
    <xf numFmtId="194" fontId="87" fillId="0" borderId="59" xfId="0" applyNumberFormat="1" applyFont="1" applyFill="1" applyBorder="1" applyAlignment="1">
      <alignment horizontal="center" vertical="center"/>
    </xf>
    <xf numFmtId="194" fontId="87" fillId="0" borderId="0" xfId="0" applyNumberFormat="1" applyFont="1" applyFill="1" applyBorder="1" applyAlignment="1">
      <alignment horizontal="center" vertical="center"/>
    </xf>
    <xf numFmtId="0" fontId="97" fillId="0" borderId="52" xfId="0" applyFont="1" applyBorder="1" applyAlignment="1">
      <alignment vertical="center" shrinkToFit="1"/>
    </xf>
    <xf numFmtId="0" fontId="87" fillId="0" borderId="140" xfId="0" applyFont="1" applyBorder="1" applyAlignment="1">
      <alignment vertical="center"/>
    </xf>
    <xf numFmtId="0" fontId="87" fillId="0" borderId="23" xfId="0" applyFont="1" applyBorder="1" applyAlignment="1">
      <alignment horizontal="center" vertical="center"/>
    </xf>
    <xf numFmtId="193" fontId="87" fillId="17" borderId="23" xfId="0" applyNumberFormat="1" applyFont="1" applyFill="1" applyBorder="1" applyAlignment="1" applyProtection="1">
      <alignment horizontal="center" vertical="center"/>
    </xf>
    <xf numFmtId="193" fontId="87" fillId="17" borderId="60" xfId="0" applyNumberFormat="1" applyFont="1" applyFill="1" applyBorder="1" applyAlignment="1" applyProtection="1">
      <alignment horizontal="center" vertical="center"/>
    </xf>
    <xf numFmtId="193" fontId="87" fillId="0" borderId="0" xfId="0" applyNumberFormat="1" applyFont="1" applyFill="1" applyBorder="1" applyAlignment="1" applyProtection="1">
      <alignment horizontal="center" vertical="center"/>
    </xf>
    <xf numFmtId="0" fontId="87" fillId="0" borderId="139" xfId="0" applyFont="1" applyBorder="1" applyAlignment="1">
      <alignment vertical="center"/>
    </xf>
    <xf numFmtId="0" fontId="87" fillId="0" borderId="201" xfId="0" applyFont="1" applyBorder="1" applyAlignment="1">
      <alignment vertical="center"/>
    </xf>
    <xf numFmtId="193" fontId="87" fillId="0" borderId="23" xfId="2" applyNumberFormat="1" applyFont="1" applyBorder="1" applyAlignment="1" applyProtection="1">
      <alignment horizontal="center" vertical="center"/>
    </xf>
    <xf numFmtId="193" fontId="87" fillId="0" borderId="60" xfId="2" applyNumberFormat="1" applyFont="1" applyBorder="1" applyAlignment="1" applyProtection="1">
      <alignment horizontal="center" vertical="center"/>
    </xf>
    <xf numFmtId="193" fontId="87" fillId="0" borderId="0" xfId="2" applyNumberFormat="1" applyFont="1" applyFill="1" applyBorder="1" applyAlignment="1" applyProtection="1">
      <alignment horizontal="center" vertical="center"/>
    </xf>
    <xf numFmtId="0" fontId="87" fillId="0" borderId="141" xfId="0" applyFont="1" applyBorder="1" applyAlignment="1">
      <alignment vertical="center"/>
    </xf>
    <xf numFmtId="0" fontId="87" fillId="0" borderId="156" xfId="0" applyFont="1" applyBorder="1" applyAlignment="1">
      <alignment vertical="center"/>
    </xf>
    <xf numFmtId="2" fontId="87" fillId="0" borderId="23" xfId="0" applyNumberFormat="1" applyFont="1" applyBorder="1" applyAlignment="1" applyProtection="1">
      <alignment horizontal="center" vertical="center"/>
    </xf>
    <xf numFmtId="2" fontId="87" fillId="0" borderId="60" xfId="0" applyNumberFormat="1" applyFont="1" applyBorder="1" applyAlignment="1" applyProtection="1">
      <alignment horizontal="center" vertical="center"/>
    </xf>
    <xf numFmtId="2" fontId="87" fillId="0" borderId="0" xfId="0" applyNumberFormat="1" applyFont="1" applyFill="1" applyBorder="1" applyAlignment="1" applyProtection="1">
      <alignment horizontal="center" vertical="center"/>
    </xf>
    <xf numFmtId="2" fontId="87" fillId="30" borderId="23" xfId="0" applyNumberFormat="1" applyFont="1" applyFill="1" applyBorder="1" applyAlignment="1" applyProtection="1">
      <alignment horizontal="center" vertical="center"/>
    </xf>
    <xf numFmtId="2" fontId="87" fillId="30" borderId="60" xfId="0" applyNumberFormat="1" applyFont="1" applyFill="1" applyBorder="1" applyAlignment="1" applyProtection="1">
      <alignment horizontal="center" vertical="center"/>
    </xf>
    <xf numFmtId="2" fontId="87" fillId="30" borderId="135" xfId="0" applyNumberFormat="1" applyFont="1" applyFill="1" applyBorder="1" applyAlignment="1" applyProtection="1">
      <alignment horizontal="center" vertical="center"/>
    </xf>
    <xf numFmtId="2" fontId="87" fillId="30" borderId="316" xfId="0" applyNumberFormat="1" applyFont="1" applyFill="1" applyBorder="1" applyAlignment="1" applyProtection="1">
      <alignment horizontal="center" vertical="center"/>
    </xf>
    <xf numFmtId="0" fontId="87" fillId="30" borderId="0" xfId="0" applyFont="1" applyFill="1" applyBorder="1" applyAlignment="1">
      <alignment horizontal="left" vertical="center"/>
    </xf>
    <xf numFmtId="0" fontId="81" fillId="30" borderId="0" xfId="0" applyFont="1" applyFill="1" applyBorder="1" applyAlignment="1">
      <alignment horizontal="left" vertical="center"/>
    </xf>
    <xf numFmtId="2" fontId="87" fillId="30" borderId="0" xfId="0" applyNumberFormat="1" applyFont="1" applyFill="1" applyBorder="1" applyAlignment="1" applyProtection="1">
      <alignment horizontal="center" vertical="center"/>
    </xf>
    <xf numFmtId="0" fontId="87" fillId="0" borderId="125" xfId="0" applyFont="1" applyFill="1" applyBorder="1" applyAlignment="1">
      <alignment vertical="center"/>
    </xf>
    <xf numFmtId="0" fontId="87" fillId="0" borderId="298" xfId="0" applyFont="1" applyFill="1" applyBorder="1" applyAlignment="1">
      <alignment vertical="center"/>
    </xf>
    <xf numFmtId="0" fontId="89" fillId="0" borderId="51" xfId="0" applyFont="1" applyFill="1" applyBorder="1" applyAlignment="1">
      <alignment vertical="center"/>
    </xf>
    <xf numFmtId="0" fontId="87" fillId="0" borderId="124" xfId="0" applyFont="1" applyFill="1" applyBorder="1" applyAlignment="1">
      <alignment vertical="center"/>
    </xf>
    <xf numFmtId="0" fontId="87" fillId="0" borderId="111" xfId="0" applyFont="1" applyFill="1" applyBorder="1" applyAlignment="1">
      <alignment horizontal="center" vertical="center" shrinkToFit="1"/>
    </xf>
    <xf numFmtId="0" fontId="97" fillId="0" borderId="52" xfId="0" applyFont="1" applyFill="1" applyBorder="1" applyAlignment="1">
      <alignment vertical="center" shrinkToFit="1"/>
    </xf>
    <xf numFmtId="0" fontId="87" fillId="0" borderId="140" xfId="0" applyFont="1" applyFill="1" applyBorder="1" applyAlignment="1">
      <alignment vertical="center"/>
    </xf>
    <xf numFmtId="0" fontId="87" fillId="0" borderId="201" xfId="0" applyFont="1" applyFill="1" applyBorder="1" applyAlignment="1">
      <alignment vertical="center"/>
    </xf>
    <xf numFmtId="193" fontId="87" fillId="0" borderId="23" xfId="2" applyNumberFormat="1" applyFont="1" applyFill="1" applyBorder="1" applyAlignment="1" applyProtection="1">
      <alignment horizontal="center" vertical="center"/>
    </xf>
    <xf numFmtId="193" fontId="87" fillId="0" borderId="60" xfId="2" applyNumberFormat="1" applyFont="1" applyFill="1" applyBorder="1" applyAlignment="1" applyProtection="1">
      <alignment horizontal="center" vertical="center"/>
    </xf>
    <xf numFmtId="0" fontId="87" fillId="0" borderId="141" xfId="0" applyFont="1" applyFill="1" applyBorder="1" applyAlignment="1">
      <alignment vertical="center"/>
    </xf>
    <xf numFmtId="0" fontId="87" fillId="0" borderId="156" xfId="0" applyFont="1" applyFill="1" applyBorder="1" applyAlignment="1">
      <alignment vertical="center"/>
    </xf>
    <xf numFmtId="2" fontId="87" fillId="0" borderId="23" xfId="0" applyNumberFormat="1" applyFont="1" applyFill="1" applyBorder="1" applyAlignment="1" applyProtection="1">
      <alignment horizontal="center" vertical="center"/>
    </xf>
    <xf numFmtId="2" fontId="87" fillId="0" borderId="60" xfId="0" applyNumberFormat="1" applyFont="1" applyFill="1" applyBorder="1" applyAlignment="1" applyProtection="1">
      <alignment horizontal="center" vertical="center"/>
    </xf>
    <xf numFmtId="0" fontId="87" fillId="30" borderId="23" xfId="0" applyFont="1" applyFill="1" applyBorder="1" applyAlignment="1" applyProtection="1">
      <alignment horizontal="center" vertical="center"/>
    </xf>
    <xf numFmtId="0" fontId="87" fillId="30" borderId="60" xfId="0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 applyProtection="1">
      <alignment horizontal="center" vertical="center"/>
    </xf>
    <xf numFmtId="176" fontId="87" fillId="0" borderId="0" xfId="0" applyNumberFormat="1" applyFont="1" applyFill="1" applyBorder="1" applyAlignment="1">
      <alignment vertical="center"/>
    </xf>
    <xf numFmtId="176" fontId="87" fillId="0" borderId="0" xfId="0" applyNumberFormat="1" applyFont="1" applyFill="1" applyBorder="1" applyAlignment="1">
      <alignment vertical="center" shrinkToFit="1"/>
    </xf>
    <xf numFmtId="194" fontId="87" fillId="32" borderId="111" xfId="0" applyNumberFormat="1" applyFont="1" applyFill="1" applyBorder="1" applyAlignment="1">
      <alignment horizontal="center" vertical="center"/>
    </xf>
    <xf numFmtId="194" fontId="87" fillId="32" borderId="59" xfId="0" applyNumberFormat="1" applyFont="1" applyFill="1" applyBorder="1" applyAlignment="1">
      <alignment horizontal="center" vertical="center"/>
    </xf>
    <xf numFmtId="193" fontId="87" fillId="32" borderId="23" xfId="2" applyNumberFormat="1" applyFont="1" applyFill="1" applyBorder="1" applyAlignment="1" applyProtection="1">
      <alignment horizontal="center" vertical="center"/>
    </xf>
    <xf numFmtId="193" fontId="87" fillId="32" borderId="60" xfId="2" applyNumberFormat="1" applyFont="1" applyFill="1" applyBorder="1" applyAlignment="1" applyProtection="1">
      <alignment horizontal="center" vertical="center"/>
    </xf>
    <xf numFmtId="2" fontId="87" fillId="32" borderId="23" xfId="0" applyNumberFormat="1" applyFont="1" applyFill="1" applyBorder="1" applyAlignment="1" applyProtection="1">
      <alignment horizontal="center" vertical="center"/>
    </xf>
    <xf numFmtId="2" fontId="87" fillId="32" borderId="60" xfId="0" applyNumberFormat="1" applyFont="1" applyFill="1" applyBorder="1" applyAlignment="1" applyProtection="1">
      <alignment horizontal="center" vertical="center"/>
    </xf>
    <xf numFmtId="0" fontId="87" fillId="26" borderId="157" xfId="0" applyFont="1" applyFill="1" applyBorder="1" applyAlignment="1">
      <alignment vertical="center"/>
    </xf>
    <xf numFmtId="0" fontId="87" fillId="26" borderId="128" xfId="0" applyFont="1" applyFill="1" applyBorder="1" applyAlignment="1">
      <alignment vertical="center"/>
    </xf>
    <xf numFmtId="2" fontId="87" fillId="32" borderId="118" xfId="0" applyNumberFormat="1" applyFont="1" applyFill="1" applyBorder="1" applyAlignment="1" applyProtection="1">
      <alignment horizontal="center" vertical="center"/>
    </xf>
    <xf numFmtId="2" fontId="87" fillId="32" borderId="58" xfId="0" applyNumberFormat="1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>
      <alignment horizontal="center" vertical="center" shrinkToFit="1"/>
    </xf>
    <xf numFmtId="0" fontId="87" fillId="26" borderId="127" xfId="0" applyFont="1" applyFill="1" applyBorder="1" applyAlignment="1">
      <alignment vertical="center"/>
    </xf>
    <xf numFmtId="0" fontId="87" fillId="32" borderId="118" xfId="0" applyFont="1" applyFill="1" applyBorder="1" applyAlignment="1" applyProtection="1">
      <alignment horizontal="center" vertical="center"/>
    </xf>
    <xf numFmtId="0" fontId="87" fillId="32" borderId="58" xfId="0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>
      <alignment vertical="center" shrinkToFit="1"/>
    </xf>
    <xf numFmtId="194" fontId="87" fillId="0" borderId="51" xfId="0" applyNumberFormat="1" applyFont="1" applyFill="1" applyBorder="1" applyAlignment="1">
      <alignment horizontal="center" vertical="center"/>
    </xf>
    <xf numFmtId="194" fontId="87" fillId="0" borderId="300" xfId="0" applyNumberFormat="1" applyFont="1" applyFill="1" applyBorder="1" applyAlignment="1">
      <alignment horizontal="center" vertical="center"/>
    </xf>
    <xf numFmtId="0" fontId="87" fillId="32" borderId="0" xfId="0" applyFont="1" applyFill="1" applyAlignment="1">
      <alignment horizontal="center" vertical="center"/>
    </xf>
    <xf numFmtId="193" fontId="87" fillId="0" borderId="300" xfId="0" applyNumberFormat="1" applyFont="1" applyFill="1" applyBorder="1" applyAlignment="1" applyProtection="1">
      <alignment horizontal="center" vertical="center"/>
    </xf>
    <xf numFmtId="0" fontId="87" fillId="0" borderId="169" xfId="0" applyFont="1" applyFill="1" applyBorder="1" applyAlignment="1">
      <alignment vertical="center"/>
    </xf>
    <xf numFmtId="0" fontId="87" fillId="0" borderId="140" xfId="0" applyFont="1" applyFill="1" applyBorder="1" applyAlignment="1">
      <alignment horizontal="center" vertical="center"/>
    </xf>
    <xf numFmtId="193" fontId="87" fillId="32" borderId="52" xfId="2" applyNumberFormat="1" applyFont="1" applyFill="1" applyBorder="1" applyAlignment="1" applyProtection="1">
      <alignment horizontal="center" vertical="center"/>
    </xf>
    <xf numFmtId="193" fontId="87" fillId="0" borderId="300" xfId="2" applyNumberFormat="1" applyFont="1" applyFill="1" applyBorder="1" applyAlignment="1" applyProtection="1">
      <alignment horizontal="center" vertical="center"/>
    </xf>
    <xf numFmtId="0" fontId="81" fillId="0" borderId="0" xfId="0" applyFont="1" applyFill="1" applyAlignment="1">
      <alignment vertical="center"/>
    </xf>
    <xf numFmtId="2" fontId="87" fillId="0" borderId="300" xfId="0" applyNumberFormat="1" applyFont="1" applyFill="1" applyBorder="1" applyAlignment="1" applyProtection="1">
      <alignment horizontal="center" vertical="center"/>
    </xf>
    <xf numFmtId="0" fontId="87" fillId="17" borderId="127" xfId="0" applyFont="1" applyFill="1" applyBorder="1" applyAlignment="1">
      <alignment vertical="center"/>
    </xf>
    <xf numFmtId="0" fontId="87" fillId="17" borderId="128" xfId="0" applyFont="1" applyFill="1" applyBorder="1" applyAlignment="1">
      <alignment vertical="center"/>
    </xf>
    <xf numFmtId="0" fontId="87" fillId="32" borderId="195" xfId="0" applyFont="1" applyFill="1" applyBorder="1" applyAlignment="1" applyProtection="1">
      <alignment horizontal="center" vertical="center"/>
    </xf>
    <xf numFmtId="0" fontId="87" fillId="17" borderId="300" xfId="0" applyFont="1" applyFill="1" applyBorder="1" applyAlignment="1" applyProtection="1">
      <alignment horizontal="center" vertical="center"/>
    </xf>
    <xf numFmtId="0" fontId="87" fillId="17" borderId="0" xfId="0" applyFont="1" applyFill="1" applyBorder="1" applyAlignment="1" applyProtection="1">
      <alignment horizontal="center" vertical="center"/>
    </xf>
    <xf numFmtId="0" fontId="87" fillId="0" borderId="0" xfId="0" applyFont="1" applyFill="1" applyBorder="1" applyAlignment="1">
      <alignment horizontal="center" vertical="center"/>
    </xf>
    <xf numFmtId="0" fontId="81" fillId="0" borderId="0" xfId="0" applyFont="1" applyFill="1" applyBorder="1" applyAlignment="1">
      <alignment horizontal="center" vertical="center"/>
    </xf>
    <xf numFmtId="191" fontId="87" fillId="32" borderId="231" xfId="0" applyNumberFormat="1" applyFont="1" applyFill="1" applyBorder="1" applyAlignment="1">
      <alignment horizontal="center" shrinkToFit="1"/>
    </xf>
    <xf numFmtId="191" fontId="87" fillId="32" borderId="232" xfId="0" applyNumberFormat="1" applyFont="1" applyFill="1" applyBorder="1" applyAlignment="1">
      <alignment horizontal="center" shrinkToFit="1"/>
    </xf>
    <xf numFmtId="191" fontId="78" fillId="32" borderId="23" xfId="0" applyNumberFormat="1" applyFont="1" applyFill="1" applyBorder="1" applyAlignment="1">
      <alignment horizontal="center" shrinkToFit="1"/>
    </xf>
    <xf numFmtId="191" fontId="78" fillId="32" borderId="98" xfId="0" applyNumberFormat="1" applyFont="1" applyFill="1" applyBorder="1" applyAlignment="1">
      <alignment horizontal="center" shrinkToFit="1"/>
    </xf>
    <xf numFmtId="38" fontId="83" fillId="32" borderId="23" xfId="0" applyNumberFormat="1" applyFont="1" applyFill="1" applyBorder="1" applyAlignment="1">
      <alignment horizontal="center" shrinkToFit="1"/>
    </xf>
    <xf numFmtId="38" fontId="83" fillId="32" borderId="31" xfId="0" applyNumberFormat="1" applyFont="1" applyFill="1" applyBorder="1" applyAlignment="1">
      <alignment horizontal="center" shrinkToFit="1"/>
    </xf>
    <xf numFmtId="38" fontId="87" fillId="32" borderId="95" xfId="0" applyNumberFormat="1" applyFont="1" applyFill="1" applyBorder="1" applyAlignment="1">
      <alignment horizontal="center" vertical="center" shrinkToFit="1"/>
    </xf>
    <xf numFmtId="38" fontId="87" fillId="32" borderId="99" xfId="0" applyNumberFormat="1" applyFont="1" applyFill="1" applyBorder="1" applyAlignment="1">
      <alignment horizontal="center" vertical="center" shrinkToFit="1"/>
    </xf>
    <xf numFmtId="38" fontId="87" fillId="32" borderId="89" xfId="0" applyNumberFormat="1" applyFont="1" applyFill="1" applyBorder="1" applyAlignment="1">
      <alignment horizontal="center" vertical="center" shrinkToFit="1"/>
    </xf>
    <xf numFmtId="38" fontId="87" fillId="32" borderId="100" xfId="0" applyNumberFormat="1" applyFont="1" applyFill="1" applyBorder="1" applyAlignment="1">
      <alignment horizontal="center" vertical="center" shrinkToFit="1"/>
    </xf>
    <xf numFmtId="179" fontId="78" fillId="32" borderId="151" xfId="0" applyNumberFormat="1" applyFont="1" applyFill="1" applyBorder="1" applyAlignment="1">
      <alignment shrinkToFit="1"/>
    </xf>
    <xf numFmtId="179" fontId="78" fillId="32" borderId="152" xfId="0" applyNumberFormat="1" applyFont="1" applyFill="1" applyBorder="1" applyAlignment="1">
      <alignment shrinkToFit="1"/>
    </xf>
    <xf numFmtId="179" fontId="78" fillId="32" borderId="95" xfId="0" applyNumberFormat="1" applyFont="1" applyFill="1" applyBorder="1" applyAlignment="1">
      <alignment shrinkToFit="1"/>
    </xf>
    <xf numFmtId="179" fontId="78" fillId="32" borderId="99" xfId="0" applyNumberFormat="1" applyFont="1" applyFill="1" applyBorder="1" applyAlignment="1">
      <alignment shrinkToFit="1"/>
    </xf>
    <xf numFmtId="179" fontId="78" fillId="32" borderId="120" xfId="0" applyNumberFormat="1" applyFont="1" applyFill="1" applyBorder="1" applyAlignment="1">
      <alignment shrinkToFit="1"/>
    </xf>
    <xf numFmtId="179" fontId="78" fillId="32" borderId="122" xfId="0" applyNumberFormat="1" applyFont="1" applyFill="1" applyBorder="1" applyAlignment="1">
      <alignment shrinkToFit="1"/>
    </xf>
    <xf numFmtId="38" fontId="78" fillId="32" borderId="82" xfId="0" applyNumberFormat="1" applyFont="1" applyFill="1" applyBorder="1" applyAlignment="1">
      <alignment horizontal="right" vertical="center" shrinkToFit="1"/>
    </xf>
    <xf numFmtId="38" fontId="78" fillId="32" borderId="200" xfId="0" applyNumberFormat="1" applyFont="1" applyFill="1" applyBorder="1" applyAlignment="1">
      <alignment horizontal="right" vertical="center" shrinkToFit="1"/>
    </xf>
    <xf numFmtId="38" fontId="78" fillId="32" borderId="23" xfId="0" applyNumberFormat="1" applyFont="1" applyFill="1" applyBorder="1" applyAlignment="1">
      <alignment horizontal="right" vertical="center" shrinkToFit="1"/>
    </xf>
    <xf numFmtId="38" fontId="78" fillId="32" borderId="31" xfId="0" applyNumberFormat="1" applyFont="1" applyFill="1" applyBorder="1" applyAlignment="1">
      <alignment horizontal="right" vertical="center" shrinkToFit="1"/>
    </xf>
    <xf numFmtId="38" fontId="78" fillId="32" borderId="23" xfId="0" applyNumberFormat="1" applyFont="1" applyFill="1" applyBorder="1" applyAlignment="1">
      <alignment horizontal="right" shrinkToFit="1"/>
    </xf>
    <xf numFmtId="38" fontId="78" fillId="32" borderId="31" xfId="0" applyNumberFormat="1" applyFont="1" applyFill="1" applyBorder="1" applyAlignment="1">
      <alignment horizontal="right" shrinkToFit="1"/>
    </xf>
    <xf numFmtId="38" fontId="78" fillId="32" borderId="85" xfId="0" applyNumberFormat="1" applyFont="1" applyFill="1" applyBorder="1" applyAlignment="1">
      <alignment horizontal="right" shrinkToFit="1"/>
    </xf>
    <xf numFmtId="38" fontId="78" fillId="32" borderId="98" xfId="0" applyNumberFormat="1" applyFont="1" applyFill="1" applyBorder="1" applyAlignment="1">
      <alignment horizontal="right" shrinkToFit="1"/>
    </xf>
    <xf numFmtId="0" fontId="104" fillId="0" borderId="225" xfId="0" applyFont="1" applyFill="1" applyBorder="1" applyAlignment="1">
      <alignment horizontal="center" vertical="center"/>
    </xf>
    <xf numFmtId="0" fontId="83" fillId="0" borderId="225" xfId="0" applyFont="1" applyFill="1" applyBorder="1" applyAlignment="1">
      <alignment horizontal="center" vertical="center"/>
    </xf>
    <xf numFmtId="0" fontId="83" fillId="0" borderId="225" xfId="0" applyFont="1" applyFill="1" applyBorder="1" applyAlignment="1">
      <alignment horizontal="right" vertical="center" shrinkToFit="1"/>
    </xf>
    <xf numFmtId="0" fontId="83" fillId="0" borderId="259" xfId="0" applyFont="1" applyFill="1" applyBorder="1" applyAlignment="1">
      <alignment horizontal="right" vertical="center"/>
    </xf>
    <xf numFmtId="0" fontId="105" fillId="0" borderId="259" xfId="0" applyFont="1" applyFill="1" applyBorder="1" applyAlignment="1">
      <alignment horizontal="left" vertical="center"/>
    </xf>
    <xf numFmtId="0" fontId="83" fillId="0" borderId="259" xfId="0" applyFont="1" applyFill="1" applyBorder="1" applyAlignment="1">
      <alignment horizontal="center" vertical="center"/>
    </xf>
    <xf numFmtId="0" fontId="87" fillId="0" borderId="0" xfId="0" applyFont="1" applyBorder="1" applyAlignment="1">
      <alignment vertical="center" shrinkToFit="1"/>
    </xf>
    <xf numFmtId="0" fontId="3" fillId="0" borderId="140" xfId="0" applyNumberFormat="1" applyFont="1" applyBorder="1" applyAlignment="1">
      <alignment vertical="center" shrinkToFit="1"/>
    </xf>
    <xf numFmtId="0" fontId="3" fillId="0" borderId="140" xfId="0" applyNumberFormat="1" applyFont="1" applyBorder="1" applyAlignment="1">
      <alignment horizontal="center" vertical="center" shrinkToFit="1"/>
    </xf>
    <xf numFmtId="0" fontId="3" fillId="0" borderId="299" xfId="0" applyNumberFormat="1" applyFont="1" applyBorder="1" applyAlignment="1">
      <alignment vertical="center" shrinkToFit="1"/>
    </xf>
    <xf numFmtId="0" fontId="9" fillId="0" borderId="317" xfId="0" applyFont="1" applyBorder="1" applyAlignment="1" applyProtection="1">
      <alignment vertical="center"/>
      <protection locked="0"/>
    </xf>
    <xf numFmtId="0" fontId="3" fillId="0" borderId="120" xfId="0" applyNumberFormat="1" applyFont="1" applyBorder="1" applyAlignment="1">
      <alignment vertical="center"/>
    </xf>
    <xf numFmtId="187" fontId="3" fillId="0" borderId="139" xfId="0" applyNumberFormat="1" applyFont="1" applyBorder="1" applyAlignment="1">
      <alignment vertical="center"/>
    </xf>
    <xf numFmtId="187" fontId="3" fillId="0" borderId="120" xfId="0" applyNumberFormat="1" applyFont="1" applyBorder="1" applyAlignment="1">
      <alignment vertical="center"/>
    </xf>
    <xf numFmtId="177" fontId="3" fillId="0" borderId="120" xfId="0" applyNumberFormat="1" applyFont="1" applyBorder="1" applyAlignment="1">
      <alignment horizontal="center" vertical="center"/>
    </xf>
    <xf numFmtId="177" fontId="3" fillId="0" borderId="120" xfId="0" applyNumberFormat="1" applyFont="1" applyBorder="1" applyAlignment="1">
      <alignment vertical="center"/>
    </xf>
    <xf numFmtId="177" fontId="4" fillId="0" borderId="139" xfId="0" applyNumberFormat="1" applyFont="1" applyBorder="1" applyAlignment="1">
      <alignment vertical="center"/>
    </xf>
    <xf numFmtId="177" fontId="4" fillId="0" borderId="318" xfId="0" applyNumberFormat="1" applyFont="1" applyBorder="1" applyAlignment="1">
      <alignment vertical="center"/>
    </xf>
    <xf numFmtId="0" fontId="3" fillId="0" borderId="319" xfId="0" applyNumberFormat="1" applyFont="1" applyBorder="1" applyAlignment="1">
      <alignment vertical="center" shrinkToFit="1"/>
    </xf>
    <xf numFmtId="0" fontId="3" fillId="0" borderId="255" xfId="0" applyNumberFormat="1" applyFont="1" applyBorder="1" applyAlignment="1">
      <alignment vertical="center"/>
    </xf>
    <xf numFmtId="0" fontId="3" fillId="0" borderId="293" xfId="0" applyNumberFormat="1" applyFont="1" applyBorder="1" applyAlignment="1">
      <alignment vertical="center"/>
    </xf>
    <xf numFmtId="187" fontId="3" fillId="0" borderId="249" xfId="0" applyNumberFormat="1" applyFont="1" applyBorder="1" applyAlignment="1">
      <alignment vertical="center"/>
    </xf>
    <xf numFmtId="187" fontId="3" fillId="0" borderId="293" xfId="0" applyNumberFormat="1" applyFont="1" applyBorder="1" applyAlignment="1">
      <alignment vertical="center"/>
    </xf>
    <xf numFmtId="177" fontId="3" fillId="0" borderId="293" xfId="0" applyNumberFormat="1" applyFont="1" applyBorder="1" applyAlignment="1">
      <alignment horizontal="center" vertical="center"/>
    </xf>
    <xf numFmtId="177" fontId="3" fillId="0" borderId="293" xfId="0" applyNumberFormat="1" applyFont="1" applyBorder="1" applyAlignment="1">
      <alignment vertical="center"/>
    </xf>
    <xf numFmtId="177" fontId="4" fillId="0" borderId="249" xfId="0" applyNumberFormat="1" applyFont="1" applyBorder="1" applyAlignment="1">
      <alignment vertical="center"/>
    </xf>
    <xf numFmtId="177" fontId="4" fillId="0" borderId="320" xfId="0" applyNumberFormat="1" applyFont="1" applyBorder="1" applyAlignment="1">
      <alignment vertical="center"/>
    </xf>
    <xf numFmtId="0" fontId="13" fillId="0" borderId="145" xfId="0" applyFont="1" applyBorder="1" applyAlignment="1" applyProtection="1">
      <alignment vertical="center"/>
      <protection locked="0"/>
    </xf>
    <xf numFmtId="0" fontId="13" fillId="0" borderId="146" xfId="0" applyFont="1" applyBorder="1" applyAlignment="1" applyProtection="1">
      <alignment vertical="center"/>
      <protection locked="0"/>
    </xf>
    <xf numFmtId="177" fontId="3" fillId="0" borderId="23" xfId="0" applyNumberFormat="1" applyFont="1" applyBorder="1" applyAlignment="1">
      <alignment vertical="center" shrinkToFit="1"/>
    </xf>
    <xf numFmtId="177" fontId="3" fillId="0" borderId="23" xfId="0" applyNumberFormat="1" applyFont="1" applyBorder="1" applyAlignment="1">
      <alignment horizontal="right" vertical="center" shrinkToFit="1"/>
    </xf>
    <xf numFmtId="177" fontId="3" fillId="0" borderId="118" xfId="0" applyNumberFormat="1" applyFont="1" applyBorder="1" applyAlignment="1">
      <alignment vertical="center" shrinkToFit="1"/>
    </xf>
    <xf numFmtId="0" fontId="28" fillId="0" borderId="23" xfId="0" applyFont="1" applyBorder="1" applyAlignment="1">
      <alignment horizontal="right" vertical="top" shrinkToFit="1"/>
    </xf>
    <xf numFmtId="177" fontId="3" fillId="0" borderId="120" xfId="0" applyNumberFormat="1" applyFont="1" applyBorder="1" applyAlignment="1">
      <alignment vertical="center" shrinkToFit="1"/>
    </xf>
    <xf numFmtId="177" fontId="3" fillId="0" borderId="293" xfId="0" applyNumberFormat="1" applyFont="1" applyBorder="1" applyAlignment="1">
      <alignment vertical="center" shrinkToFit="1"/>
    </xf>
    <xf numFmtId="177" fontId="3" fillId="0" borderId="118" xfId="0" applyNumberFormat="1" applyFont="1" applyBorder="1" applyAlignment="1">
      <alignment horizontal="right" vertical="center" shrinkToFit="1"/>
    </xf>
    <xf numFmtId="177" fontId="3" fillId="17" borderId="23" xfId="0" applyNumberFormat="1" applyFont="1" applyFill="1" applyBorder="1" applyAlignment="1">
      <alignment vertical="center" shrinkToFit="1"/>
    </xf>
    <xf numFmtId="177" fontId="3" fillId="0" borderId="23" xfId="0" applyNumberFormat="1" applyFont="1" applyFill="1" applyBorder="1" applyAlignment="1">
      <alignment vertical="center" shrinkToFit="1"/>
    </xf>
    <xf numFmtId="0" fontId="9" fillId="32" borderId="0" xfId="0" applyFont="1" applyFill="1" applyBorder="1" applyAlignment="1">
      <alignment horizontal="right" vertical="center" shrinkToFit="1"/>
    </xf>
    <xf numFmtId="177" fontId="54" fillId="32" borderId="82" xfId="0" applyNumberFormat="1" applyFont="1" applyFill="1" applyBorder="1" applyAlignment="1">
      <alignment horizontal="center" vertical="center" shrinkToFit="1"/>
    </xf>
    <xf numFmtId="177" fontId="54" fillId="37" borderId="82" xfId="0" applyNumberFormat="1" applyFont="1" applyFill="1" applyBorder="1" applyAlignment="1">
      <alignment horizontal="center" vertical="center" shrinkToFit="1"/>
    </xf>
    <xf numFmtId="0" fontId="50" fillId="0" borderId="0" xfId="0" applyFont="1" applyFill="1" applyBorder="1" applyAlignment="1">
      <alignment horizontal="left" vertical="center" shrinkToFit="1"/>
    </xf>
    <xf numFmtId="0" fontId="11" fillId="0" borderId="259" xfId="0" applyFont="1" applyFill="1" applyBorder="1" applyAlignment="1">
      <alignment horizontal="distributed" vertical="center"/>
    </xf>
    <xf numFmtId="0" fontId="53" fillId="0" borderId="178" xfId="0" applyFont="1" applyFill="1" applyBorder="1" applyAlignment="1">
      <alignment horizontal="distributed" vertical="center"/>
    </xf>
    <xf numFmtId="0" fontId="53" fillId="0" borderId="176" xfId="0" applyFont="1" applyFill="1" applyBorder="1" applyAlignment="1">
      <alignment horizontal="distributed" vertical="center"/>
    </xf>
    <xf numFmtId="0" fontId="53" fillId="0" borderId="15" xfId="0" applyFont="1" applyFill="1" applyBorder="1" applyAlignment="1">
      <alignment horizontal="distributed" vertical="center"/>
    </xf>
    <xf numFmtId="0" fontId="55" fillId="0" borderId="226" xfId="0" applyFont="1" applyFill="1" applyBorder="1" applyAlignment="1">
      <alignment horizontal="right"/>
    </xf>
    <xf numFmtId="0" fontId="55" fillId="0" borderId="0" xfId="0" applyFont="1" applyFill="1" applyBorder="1" applyAlignment="1">
      <alignment horizontal="right"/>
    </xf>
    <xf numFmtId="0" fontId="55" fillId="0" borderId="228" xfId="0" applyFont="1" applyFill="1" applyBorder="1" applyAlignment="1">
      <alignment horizontal="right"/>
    </xf>
    <xf numFmtId="0" fontId="53" fillId="0" borderId="224" xfId="0" applyFont="1" applyFill="1" applyBorder="1" applyAlignment="1">
      <alignment horizontal="left" vertical="center" shrinkToFit="1"/>
    </xf>
    <xf numFmtId="0" fontId="53" fillId="0" borderId="225" xfId="0" applyFont="1" applyFill="1" applyBorder="1" applyAlignment="1">
      <alignment horizontal="left" vertical="center" shrinkToFit="1"/>
    </xf>
    <xf numFmtId="0" fontId="53" fillId="0" borderId="229" xfId="0" applyFont="1" applyFill="1" applyBorder="1" applyAlignment="1">
      <alignment horizontal="left" vertical="center" shrinkToFit="1"/>
    </xf>
    <xf numFmtId="0" fontId="24" fillId="0" borderId="149" xfId="0" applyFont="1" applyFill="1" applyBorder="1" applyAlignment="1">
      <alignment horizontal="center" vertical="center" shrinkToFit="1"/>
    </xf>
    <xf numFmtId="0" fontId="24" fillId="0" borderId="231" xfId="0" applyFont="1" applyFill="1" applyBorder="1" applyAlignment="1">
      <alignment horizontal="center" vertical="center" textRotation="255"/>
    </xf>
    <xf numFmtId="0" fontId="24" fillId="0" borderId="121" xfId="0" applyFont="1" applyFill="1" applyBorder="1" applyAlignment="1">
      <alignment horizontal="center" vertical="center" textRotation="255"/>
    </xf>
    <xf numFmtId="0" fontId="24" fillId="0" borderId="95" xfId="0" applyFont="1" applyFill="1" applyBorder="1" applyAlignment="1">
      <alignment horizontal="center" vertical="center" textRotation="255"/>
    </xf>
    <xf numFmtId="0" fontId="24" fillId="0" borderId="120" xfId="0" applyFont="1" applyFill="1" applyBorder="1" applyAlignment="1">
      <alignment horizontal="center" vertical="center" textRotation="255"/>
    </xf>
    <xf numFmtId="0" fontId="24" fillId="0" borderId="265" xfId="0" applyFont="1" applyFill="1" applyBorder="1" applyAlignment="1">
      <alignment horizontal="center" vertical="center"/>
    </xf>
    <xf numFmtId="0" fontId="24" fillId="0" borderId="266" xfId="0" applyFont="1" applyFill="1" applyBorder="1" applyAlignment="1">
      <alignment horizontal="center" vertical="center"/>
    </xf>
    <xf numFmtId="0" fontId="55" fillId="0" borderId="226" xfId="0" applyFont="1" applyBorder="1" applyAlignment="1">
      <alignment horizontal="right" vertical="center" wrapText="1" shrinkToFit="1"/>
    </xf>
    <xf numFmtId="0" fontId="55" fillId="0" borderId="0" xfId="0" applyFont="1" applyBorder="1" applyAlignment="1">
      <alignment horizontal="right" vertical="center" wrapText="1" shrinkToFit="1"/>
    </xf>
    <xf numFmtId="0" fontId="55" fillId="0" borderId="228" xfId="0" applyFont="1" applyBorder="1" applyAlignment="1">
      <alignment horizontal="right" vertical="center" wrapText="1" shrinkToFit="1"/>
    </xf>
    <xf numFmtId="0" fontId="55" fillId="0" borderId="189" xfId="0" applyFont="1" applyBorder="1" applyAlignment="1">
      <alignment horizontal="right" vertical="center" wrapText="1" shrinkToFit="1"/>
    </xf>
    <xf numFmtId="0" fontId="55" fillId="0" borderId="139" xfId="0" applyFont="1" applyBorder="1" applyAlignment="1">
      <alignment horizontal="right" vertical="center" wrapText="1" shrinkToFit="1"/>
    </xf>
    <xf numFmtId="0" fontId="55" fillId="0" borderId="201" xfId="0" applyFont="1" applyBorder="1" applyAlignment="1">
      <alignment horizontal="right" vertical="center" wrapText="1" shrinkToFit="1"/>
    </xf>
    <xf numFmtId="0" fontId="4" fillId="0" borderId="149" xfId="0" applyFont="1" applyFill="1" applyBorder="1" applyAlignment="1">
      <alignment horizontal="center"/>
    </xf>
    <xf numFmtId="0" fontId="4" fillId="0" borderId="261" xfId="0" applyFont="1" applyFill="1" applyBorder="1" applyAlignment="1">
      <alignment horizontal="center"/>
    </xf>
    <xf numFmtId="0" fontId="4" fillId="0" borderId="231" xfId="0" applyFont="1" applyFill="1" applyBorder="1" applyAlignment="1">
      <alignment horizontal="center" vertical="center" textRotation="255"/>
    </xf>
    <xf numFmtId="0" fontId="4" fillId="0" borderId="121" xfId="0" applyFont="1" applyFill="1" applyBorder="1" applyAlignment="1">
      <alignment horizontal="center" vertical="center" textRotation="255"/>
    </xf>
    <xf numFmtId="0" fontId="4" fillId="0" borderId="95" xfId="0" applyFont="1" applyFill="1" applyBorder="1" applyAlignment="1">
      <alignment horizontal="center" vertical="center" textRotation="255"/>
    </xf>
    <xf numFmtId="0" fontId="4" fillId="0" borderId="120" xfId="0" applyFont="1" applyFill="1" applyBorder="1" applyAlignment="1">
      <alignment horizontal="center" vertical="center" textRotation="255"/>
    </xf>
    <xf numFmtId="0" fontId="4" fillId="0" borderId="89" xfId="0" applyFont="1" applyFill="1" applyBorder="1" applyAlignment="1">
      <alignment horizontal="center" vertical="center" textRotation="255"/>
    </xf>
    <xf numFmtId="0" fontId="17" fillId="0" borderId="231" xfId="0" applyFont="1" applyBorder="1" applyAlignment="1">
      <alignment vertical="center" textRotation="255"/>
    </xf>
    <xf numFmtId="0" fontId="17" fillId="0" borderId="285" xfId="0" applyFont="1" applyBorder="1" applyAlignment="1">
      <alignment vertical="center" textRotation="255"/>
    </xf>
    <xf numFmtId="0" fontId="17" fillId="0" borderId="89" xfId="0" applyFont="1" applyBorder="1" applyAlignment="1">
      <alignment vertical="center" textRotation="255"/>
    </xf>
    <xf numFmtId="0" fontId="58" fillId="0" borderId="269" xfId="0" applyFont="1" applyFill="1" applyBorder="1" applyAlignment="1">
      <alignment horizontal="left" vertical="center"/>
    </xf>
    <xf numFmtId="0" fontId="58" fillId="0" borderId="270" xfId="0" applyFont="1" applyFill="1" applyBorder="1" applyAlignment="1">
      <alignment horizontal="left" vertical="center"/>
    </xf>
    <xf numFmtId="0" fontId="58" fillId="0" borderId="272" xfId="0" applyFont="1" applyFill="1" applyBorder="1" applyAlignment="1">
      <alignment vertical="center" shrinkToFit="1"/>
    </xf>
    <xf numFmtId="0" fontId="58" fillId="0" borderId="273" xfId="0" applyFont="1" applyFill="1" applyBorder="1" applyAlignment="1">
      <alignment vertical="center" shrinkToFit="1"/>
    </xf>
    <xf numFmtId="0" fontId="17" fillId="0" borderId="231" xfId="0" applyFont="1" applyFill="1" applyBorder="1" applyAlignment="1">
      <alignment horizontal="center" vertical="center" wrapText="1"/>
    </xf>
    <xf numFmtId="0" fontId="17" fillId="0" borderId="89" xfId="0" applyFont="1" applyFill="1" applyBorder="1" applyAlignment="1">
      <alignment horizontal="center" vertical="center" wrapText="1"/>
    </xf>
    <xf numFmtId="0" fontId="44" fillId="0" borderId="284" xfId="0" applyFont="1" applyFill="1" applyBorder="1" applyAlignment="1">
      <alignment horizontal="left" shrinkToFit="1"/>
    </xf>
    <xf numFmtId="0" fontId="44" fillId="0" borderId="259" xfId="0" applyFont="1" applyFill="1" applyBorder="1" applyAlignment="1">
      <alignment horizontal="left" shrinkToFit="1"/>
    </xf>
    <xf numFmtId="0" fontId="44" fillId="0" borderId="286" xfId="0" applyFont="1" applyFill="1" applyBorder="1" applyAlignment="1">
      <alignment horizontal="left" shrinkToFit="1"/>
    </xf>
    <xf numFmtId="0" fontId="4" fillId="0" borderId="287" xfId="0" applyFont="1" applyFill="1" applyBorder="1" applyAlignment="1">
      <alignment horizontal="center" shrinkToFit="1"/>
    </xf>
    <xf numFmtId="0" fontId="4" fillId="0" borderId="149" xfId="0" applyFont="1" applyFill="1" applyBorder="1" applyAlignment="1">
      <alignment horizontal="center" shrinkToFit="1"/>
    </xf>
    <xf numFmtId="0" fontId="4" fillId="0" borderId="261" xfId="0" applyFont="1" applyFill="1" applyBorder="1" applyAlignment="1">
      <alignment horizontal="center" shrinkToFit="1"/>
    </xf>
    <xf numFmtId="0" fontId="4" fillId="0" borderId="231" xfId="0" applyFont="1" applyFill="1" applyBorder="1" applyAlignment="1">
      <alignment horizontal="center" vertical="center" wrapText="1"/>
    </xf>
    <xf numFmtId="0" fontId="4" fillId="0" borderId="89" xfId="0" applyFont="1" applyFill="1" applyBorder="1" applyAlignment="1">
      <alignment horizontal="center" vertical="center" wrapText="1"/>
    </xf>
    <xf numFmtId="0" fontId="4" fillId="0" borderId="288" xfId="0" applyFont="1" applyFill="1" applyBorder="1" applyAlignment="1">
      <alignment horizontal="center" shrinkToFit="1"/>
    </xf>
    <xf numFmtId="0" fontId="4" fillId="0" borderId="224" xfId="0" applyFont="1" applyFill="1" applyBorder="1" applyAlignment="1">
      <alignment horizontal="center" wrapText="1"/>
    </xf>
    <xf numFmtId="0" fontId="4" fillId="0" borderId="225" xfId="0" applyFont="1" applyFill="1" applyBorder="1" applyAlignment="1">
      <alignment horizontal="center" wrapText="1"/>
    </xf>
    <xf numFmtId="0" fontId="4" fillId="0" borderId="229" xfId="0" applyFont="1" applyFill="1" applyBorder="1" applyAlignment="1">
      <alignment horizontal="center" wrapText="1"/>
    </xf>
    <xf numFmtId="0" fontId="4" fillId="0" borderId="284" xfId="0" applyFont="1" applyFill="1" applyBorder="1" applyAlignment="1">
      <alignment horizontal="center" wrapText="1"/>
    </xf>
    <xf numFmtId="0" fontId="4" fillId="0" borderId="259" xfId="0" applyFont="1" applyFill="1" applyBorder="1" applyAlignment="1">
      <alignment horizontal="center" wrapText="1"/>
    </xf>
    <xf numFmtId="0" fontId="4" fillId="0" borderId="286" xfId="0" applyFont="1" applyFill="1" applyBorder="1" applyAlignment="1">
      <alignment horizontal="center" wrapText="1"/>
    </xf>
    <xf numFmtId="0" fontId="17" fillId="0" borderId="176" xfId="0" applyFont="1" applyFill="1" applyBorder="1" applyAlignment="1">
      <alignment horizontal="left" shrinkToFit="1"/>
    </xf>
    <xf numFmtId="0" fontId="17" fillId="0" borderId="203" xfId="0" applyFont="1" applyFill="1" applyBorder="1" applyAlignment="1">
      <alignment horizontal="left" shrinkToFit="1"/>
    </xf>
    <xf numFmtId="38" fontId="9" fillId="0" borderId="83" xfId="0" applyNumberFormat="1" applyFont="1" applyFill="1" applyBorder="1" applyAlignment="1">
      <alignment horizontal="left"/>
    </xf>
    <xf numFmtId="38" fontId="9" fillId="0" borderId="233" xfId="0" applyNumberFormat="1" applyFont="1" applyFill="1" applyBorder="1" applyAlignment="1">
      <alignment horizontal="left"/>
    </xf>
    <xf numFmtId="0" fontId="44" fillId="0" borderId="284" xfId="0" applyFont="1" applyFill="1" applyBorder="1" applyAlignment="1">
      <alignment horizontal="left"/>
    </xf>
    <xf numFmtId="0" fontId="44" fillId="0" borderId="259" xfId="0" applyFont="1" applyFill="1" applyBorder="1" applyAlignment="1">
      <alignment horizontal="left"/>
    </xf>
    <xf numFmtId="0" fontId="44" fillId="0" borderId="286" xfId="0" applyFont="1" applyFill="1" applyBorder="1" applyAlignment="1">
      <alignment horizontal="left"/>
    </xf>
    <xf numFmtId="38" fontId="9" fillId="0" borderId="86" xfId="0" applyNumberFormat="1" applyFont="1" applyFill="1" applyBorder="1" applyAlignment="1">
      <alignment horizontal="left"/>
    </xf>
    <xf numFmtId="38" fontId="9" fillId="0" borderId="203" xfId="0" applyNumberFormat="1" applyFont="1" applyFill="1" applyBorder="1" applyAlignment="1">
      <alignment horizontal="left"/>
    </xf>
    <xf numFmtId="0" fontId="4" fillId="0" borderId="287" xfId="0" applyFont="1" applyFill="1" applyBorder="1" applyAlignment="1">
      <alignment horizontal="center"/>
    </xf>
    <xf numFmtId="0" fontId="28" fillId="0" borderId="120" xfId="0" applyFont="1" applyFill="1" applyBorder="1" applyAlignment="1">
      <alignment horizontal="center" vertical="center" textRotation="255" wrapText="1"/>
    </xf>
    <xf numFmtId="0" fontId="28" fillId="0" borderId="95" xfId="0" applyFont="1" applyFill="1" applyBorder="1" applyAlignment="1">
      <alignment horizontal="center" vertical="center" textRotation="255" wrapText="1"/>
    </xf>
    <xf numFmtId="0" fontId="4" fillId="0" borderId="144" xfId="0" applyFont="1" applyFill="1" applyBorder="1" applyAlignment="1">
      <alignment horizontal="left" vertical="center"/>
    </xf>
    <xf numFmtId="0" fontId="4" fillId="0" borderId="142" xfId="0" applyFont="1" applyFill="1" applyBorder="1" applyAlignment="1">
      <alignment horizontal="left" vertical="center"/>
    </xf>
    <xf numFmtId="0" fontId="4" fillId="0" borderId="140" xfId="0" applyFont="1" applyFill="1" applyBorder="1" applyAlignment="1">
      <alignment horizontal="left" vertical="center"/>
    </xf>
    <xf numFmtId="0" fontId="4" fillId="0" borderId="126" xfId="0" applyFont="1" applyFill="1" applyBorder="1" applyAlignment="1">
      <alignment horizontal="left" vertical="center"/>
    </xf>
    <xf numFmtId="0" fontId="4" fillId="0" borderId="127" xfId="0" applyFont="1" applyFill="1" applyBorder="1" applyAlignment="1">
      <alignment horizontal="left" vertical="center"/>
    </xf>
    <xf numFmtId="0" fontId="4" fillId="0" borderId="128" xfId="0" applyFont="1" applyFill="1" applyBorder="1" applyAlignment="1">
      <alignment horizontal="left" vertical="center"/>
    </xf>
    <xf numFmtId="0" fontId="4" fillId="0" borderId="299" xfId="0" applyFont="1" applyFill="1" applyBorder="1" applyAlignment="1">
      <alignment vertical="center" wrapText="1"/>
    </xf>
    <xf numFmtId="0" fontId="4" fillId="0" borderId="256" xfId="0" applyFont="1" applyFill="1" applyBorder="1" applyAlignment="1">
      <alignment vertical="center" wrapText="1"/>
    </xf>
    <xf numFmtId="0" fontId="4" fillId="0" borderId="155" xfId="0" applyFont="1" applyFill="1" applyBorder="1" applyAlignment="1">
      <alignment vertical="center" wrapText="1"/>
    </xf>
    <xf numFmtId="0" fontId="61" fillId="0" borderId="201" xfId="0" applyFont="1" applyFill="1" applyBorder="1" applyAlignment="1">
      <alignment vertical="center" wrapText="1"/>
    </xf>
    <xf numFmtId="0" fontId="61" fillId="0" borderId="228" xfId="0" applyFont="1" applyFill="1" applyBorder="1" applyAlignment="1">
      <alignment vertical="center" wrapText="1"/>
    </xf>
    <xf numFmtId="0" fontId="61" fillId="0" borderId="156" xfId="0" applyFont="1" applyFill="1" applyBorder="1" applyAlignment="1">
      <alignment vertical="center" wrapText="1"/>
    </xf>
    <xf numFmtId="0" fontId="4" fillId="0" borderId="169" xfId="0" applyFont="1" applyFill="1" applyBorder="1" applyAlignment="1">
      <alignment vertical="center"/>
    </xf>
    <xf numFmtId="0" fontId="4" fillId="0" borderId="96" xfId="0" applyFont="1" applyFill="1" applyBorder="1" applyAlignment="1">
      <alignment vertical="center"/>
    </xf>
    <xf numFmtId="0" fontId="28" fillId="0" borderId="89" xfId="0" applyFont="1" applyFill="1" applyBorder="1" applyAlignment="1">
      <alignment horizontal="center" vertical="center" textRotation="255" wrapText="1"/>
    </xf>
    <xf numFmtId="0" fontId="4" fillId="0" borderId="126" xfId="0" applyFont="1" applyFill="1" applyBorder="1" applyAlignment="1">
      <alignment horizontal="center" vertical="center"/>
    </xf>
    <xf numFmtId="0" fontId="4" fillId="0" borderId="127" xfId="0" applyFont="1" applyFill="1" applyBorder="1" applyAlignment="1">
      <alignment horizontal="center" vertical="center"/>
    </xf>
    <xf numFmtId="0" fontId="4" fillId="0" borderId="226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228" xfId="0" applyFont="1" applyFill="1" applyBorder="1" applyAlignment="1">
      <alignment horizontal="right"/>
    </xf>
    <xf numFmtId="0" fontId="55" fillId="0" borderId="115" xfId="0" applyFont="1" applyBorder="1" applyAlignment="1">
      <alignment horizontal="right" vertical="center" wrapText="1" shrinkToFit="1"/>
    </xf>
    <xf numFmtId="0" fontId="55" fillId="0" borderId="142" xfId="0" applyFont="1" applyBorder="1" applyAlignment="1">
      <alignment horizontal="right" vertical="center" wrapText="1" shrinkToFit="1"/>
    </xf>
    <xf numFmtId="0" fontId="55" fillId="0" borderId="140" xfId="0" applyFont="1" applyBorder="1" applyAlignment="1">
      <alignment horizontal="right" vertical="center" wrapText="1" shrinkToFit="1"/>
    </xf>
    <xf numFmtId="0" fontId="24" fillId="0" borderId="158" xfId="0" applyFont="1" applyBorder="1" applyAlignment="1" applyProtection="1">
      <alignment horizontal="center" vertical="center" wrapText="1"/>
    </xf>
    <xf numFmtId="0" fontId="24" fillId="0" borderId="160" xfId="0" applyFont="1" applyBorder="1" applyAlignment="1" applyProtection="1">
      <alignment horizontal="center" vertical="center" wrapText="1"/>
    </xf>
    <xf numFmtId="0" fontId="37" fillId="16" borderId="23" xfId="0" applyFont="1" applyFill="1" applyBorder="1" applyAlignment="1" applyProtection="1">
      <alignment horizontal="center" vertical="center" shrinkToFit="1"/>
    </xf>
    <xf numFmtId="0" fontId="3" fillId="0" borderId="49" xfId="0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163" xfId="0" applyBorder="1" applyAlignment="1">
      <alignment horizontal="center" vertical="center"/>
    </xf>
    <xf numFmtId="0" fontId="3" fillId="0" borderId="161" xfId="0" applyFont="1" applyBorder="1" applyAlignment="1">
      <alignment horizontal="center" vertical="center"/>
    </xf>
    <xf numFmtId="0" fontId="3" fillId="0" borderId="133" xfId="0" applyFont="1" applyBorder="1" applyAlignment="1">
      <alignment horizontal="center" vertical="center"/>
    </xf>
    <xf numFmtId="0" fontId="3" fillId="0" borderId="95" xfId="0" applyFont="1" applyBorder="1" applyAlignment="1">
      <alignment horizontal="center" vertical="center"/>
    </xf>
    <xf numFmtId="0" fontId="24" fillId="0" borderId="179" xfId="0" applyFont="1" applyBorder="1" applyAlignment="1" applyProtection="1">
      <alignment horizontal="center" vertical="center" wrapText="1"/>
    </xf>
    <xf numFmtId="0" fontId="24" fillId="0" borderId="180" xfId="0" applyFont="1" applyBorder="1" applyAlignment="1" applyProtection="1">
      <alignment horizontal="center" vertical="center" wrapText="1"/>
    </xf>
    <xf numFmtId="0" fontId="24" fillId="0" borderId="181" xfId="0" applyFont="1" applyBorder="1" applyAlignment="1" applyProtection="1">
      <alignment horizontal="center" vertical="center" wrapText="1"/>
    </xf>
    <xf numFmtId="0" fontId="24" fillId="0" borderId="148" xfId="0" applyFont="1" applyBorder="1" applyAlignment="1" applyProtection="1">
      <alignment horizontal="center" vertical="center" wrapText="1"/>
    </xf>
    <xf numFmtId="0" fontId="24" fillId="0" borderId="182" xfId="0" applyFont="1" applyBorder="1" applyAlignment="1" applyProtection="1">
      <alignment horizontal="center" vertical="center" wrapText="1"/>
    </xf>
    <xf numFmtId="0" fontId="24" fillId="0" borderId="183" xfId="0" applyFont="1" applyBorder="1" applyAlignment="1" applyProtection="1">
      <alignment horizontal="center" vertical="center" wrapText="1"/>
    </xf>
    <xf numFmtId="0" fontId="24" fillId="0" borderId="209" xfId="0" applyFont="1" applyBorder="1" applyAlignment="1" applyProtection="1">
      <alignment horizontal="center" vertical="center" wrapText="1"/>
    </xf>
    <xf numFmtId="0" fontId="24" fillId="0" borderId="210" xfId="0" applyFont="1" applyBorder="1" applyAlignment="1" applyProtection="1">
      <alignment horizontal="center" vertical="center" wrapText="1"/>
    </xf>
    <xf numFmtId="0" fontId="24" fillId="0" borderId="208" xfId="0" applyFont="1" applyBorder="1" applyAlignment="1" applyProtection="1">
      <alignment horizontal="center" vertical="center" wrapText="1"/>
    </xf>
    <xf numFmtId="0" fontId="24" fillId="0" borderId="158" xfId="0" applyFont="1" applyBorder="1" applyAlignment="1" applyProtection="1">
      <alignment horizontal="center" vertical="center" shrinkToFit="1"/>
    </xf>
    <xf numFmtId="0" fontId="24" fillId="0" borderId="159" xfId="0" applyFont="1" applyBorder="1" applyAlignment="1" applyProtection="1">
      <alignment horizontal="center" vertical="center" shrinkToFit="1"/>
    </xf>
    <xf numFmtId="0" fontId="24" fillId="0" borderId="160" xfId="0" applyFont="1" applyBorder="1" applyAlignment="1" applyProtection="1">
      <alignment horizontal="center" vertical="center" shrinkToFit="1"/>
    </xf>
    <xf numFmtId="177" fontId="9" fillId="16" borderId="23" xfId="0" applyNumberFormat="1" applyFont="1" applyFill="1" applyBorder="1" applyAlignment="1" applyProtection="1">
      <alignment horizontal="center" vertical="center" shrinkToFit="1"/>
    </xf>
    <xf numFmtId="0" fontId="9" fillId="16" borderId="23" xfId="0" applyFont="1" applyFill="1" applyBorder="1" applyAlignment="1" applyProtection="1">
      <alignment horizontal="center" vertical="center" shrinkToFit="1"/>
    </xf>
    <xf numFmtId="188" fontId="24" fillId="0" borderId="23" xfId="0" applyNumberFormat="1" applyFont="1" applyFill="1" applyBorder="1" applyAlignment="1" applyProtection="1">
      <alignment horizontal="center" vertical="center"/>
      <protection locked="0"/>
    </xf>
    <xf numFmtId="58" fontId="16" fillId="0" borderId="0" xfId="0" applyNumberFormat="1" applyFont="1" applyBorder="1" applyAlignment="1" applyProtection="1">
      <alignment horizontal="center" vertical="center" shrinkToFit="1"/>
      <protection locked="0"/>
    </xf>
    <xf numFmtId="0" fontId="15" fillId="15" borderId="157" xfId="0" applyFont="1" applyFill="1" applyBorder="1" applyAlignment="1" applyProtection="1">
      <alignment horizontal="distributed" vertical="center" justifyLastLine="1"/>
      <protection locked="0"/>
    </xf>
    <xf numFmtId="0" fontId="43" fillId="0" borderId="0" xfId="0" applyFont="1" applyBorder="1" applyAlignment="1" applyProtection="1">
      <alignment horizontal="center" vertical="center"/>
    </xf>
    <xf numFmtId="0" fontId="17" fillId="0" borderId="23" xfId="0" applyFont="1" applyBorder="1" applyAlignment="1">
      <alignment horizontal="center" vertical="center"/>
    </xf>
    <xf numFmtId="177" fontId="24" fillId="0" borderId="23" xfId="0" applyNumberFormat="1" applyFont="1" applyBorder="1" applyAlignment="1" applyProtection="1">
      <alignment horizontal="center" vertical="center"/>
    </xf>
    <xf numFmtId="189" fontId="35" fillId="17" borderId="23" xfId="0" applyNumberFormat="1" applyFont="1" applyFill="1" applyBorder="1" applyAlignment="1" applyProtection="1">
      <alignment horizontal="center" vertical="center" shrinkToFit="1"/>
      <protection locked="0"/>
    </xf>
    <xf numFmtId="55" fontId="24" fillId="0" borderId="23" xfId="0" applyNumberFormat="1" applyFont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textRotation="255" shrinkToFit="1"/>
    </xf>
    <xf numFmtId="0" fontId="0" fillId="0" borderId="153" xfId="0" applyBorder="1" applyAlignment="1">
      <alignment horizontal="center" vertical="center" textRotation="255" shrinkToFit="1"/>
    </xf>
    <xf numFmtId="0" fontId="3" fillId="0" borderId="154" xfId="0" applyFont="1" applyBorder="1" applyAlignment="1">
      <alignment horizontal="center" vertical="center"/>
    </xf>
    <xf numFmtId="0" fontId="3" fillId="0" borderId="132" xfId="0" applyFont="1" applyBorder="1" applyAlignment="1">
      <alignment horizontal="center"/>
    </xf>
    <xf numFmtId="0" fontId="3" fillId="0" borderId="155" xfId="0" applyFont="1" applyBorder="1" applyAlignment="1">
      <alignment horizontal="center" vertical="center"/>
    </xf>
    <xf numFmtId="0" fontId="3" fillId="0" borderId="156" xfId="0" applyFont="1" applyBorder="1" applyAlignment="1">
      <alignment horizontal="center"/>
    </xf>
    <xf numFmtId="178" fontId="4" fillId="0" borderId="144" xfId="0" applyNumberFormat="1" applyFont="1" applyBorder="1" applyAlignment="1" applyProtection="1">
      <alignment horizontal="center" vertical="center" shrinkToFit="1"/>
      <protection locked="0"/>
    </xf>
    <xf numFmtId="178" fontId="4" fillId="0" borderId="142" xfId="0" applyNumberFormat="1" applyFont="1" applyBorder="1" applyAlignment="1" applyProtection="1">
      <alignment horizontal="center" vertical="center" shrinkToFit="1"/>
      <protection locked="0"/>
    </xf>
    <xf numFmtId="0" fontId="28" fillId="20" borderId="164" xfId="0" applyFont="1" applyFill="1" applyBorder="1" applyAlignment="1">
      <alignment horizontal="left" vertical="center" wrapText="1"/>
    </xf>
    <xf numFmtId="0" fontId="28" fillId="20" borderId="40" xfId="0" applyFont="1" applyFill="1" applyBorder="1" applyAlignment="1">
      <alignment horizontal="left" vertical="center" wrapText="1"/>
    </xf>
    <xf numFmtId="178" fontId="4" fillId="0" borderId="126" xfId="0" applyNumberFormat="1" applyFont="1" applyBorder="1" applyAlignment="1" applyProtection="1">
      <alignment horizontal="center" vertical="center" shrinkToFit="1"/>
      <protection locked="0"/>
    </xf>
    <xf numFmtId="178" fontId="4" fillId="0" borderId="127" xfId="0" applyNumberFormat="1" applyFont="1" applyBorder="1" applyAlignment="1" applyProtection="1">
      <alignment horizontal="center" vertical="center" shrinkToFit="1"/>
      <protection locked="0"/>
    </xf>
    <xf numFmtId="0" fontId="28" fillId="20" borderId="217" xfId="0" applyFont="1" applyFill="1" applyBorder="1" applyAlignment="1">
      <alignment horizontal="left" vertical="center" wrapText="1"/>
    </xf>
    <xf numFmtId="0" fontId="28" fillId="20" borderId="78" xfId="0" applyFont="1" applyFill="1" applyBorder="1" applyAlignment="1">
      <alignment horizontal="left" vertical="center" wrapText="1"/>
    </xf>
    <xf numFmtId="0" fontId="39" fillId="0" borderId="0" xfId="0" applyFont="1" applyFill="1" applyBorder="1" applyAlignment="1" applyProtection="1">
      <alignment horizontal="center" vertical="center"/>
    </xf>
    <xf numFmtId="0" fontId="39" fillId="0" borderId="246" xfId="0" applyFont="1" applyFill="1" applyBorder="1" applyAlignment="1" applyProtection="1">
      <alignment horizontal="center" vertical="center"/>
    </xf>
    <xf numFmtId="0" fontId="13" fillId="19" borderId="125" xfId="0" applyFont="1" applyFill="1" applyBorder="1" applyAlignment="1" applyProtection="1">
      <alignment horizontal="center" vertical="center"/>
    </xf>
    <xf numFmtId="0" fontId="13" fillId="19" borderId="124" xfId="0" applyFont="1" applyFill="1" applyBorder="1" applyAlignment="1" applyProtection="1">
      <alignment horizontal="center" vertical="center"/>
    </xf>
    <xf numFmtId="0" fontId="13" fillId="19" borderId="166" xfId="0" applyFont="1" applyFill="1" applyBorder="1" applyAlignment="1" applyProtection="1">
      <alignment horizontal="center" vertical="center"/>
    </xf>
    <xf numFmtId="0" fontId="13" fillId="19" borderId="65" xfId="0" applyFont="1" applyFill="1" applyBorder="1" applyAlignment="1" applyProtection="1">
      <alignment horizontal="center" vertical="center"/>
    </xf>
    <xf numFmtId="0" fontId="13" fillId="19" borderId="66" xfId="0" applyFont="1" applyFill="1" applyBorder="1" applyAlignment="1" applyProtection="1">
      <alignment horizontal="center" vertical="center"/>
    </xf>
    <xf numFmtId="0" fontId="11" fillId="17" borderId="0" xfId="0" applyFont="1" applyFill="1" applyBorder="1" applyAlignment="1">
      <alignment horizontal="right"/>
    </xf>
    <xf numFmtId="0" fontId="11" fillId="17" borderId="234" xfId="0" applyFont="1" applyFill="1" applyBorder="1" applyAlignment="1">
      <alignment horizontal="right"/>
    </xf>
    <xf numFmtId="0" fontId="3" fillId="21" borderId="249" xfId="0" applyFont="1" applyFill="1" applyBorder="1" applyAlignment="1">
      <alignment horizontal="left" shrinkToFit="1"/>
    </xf>
    <xf numFmtId="0" fontId="3" fillId="21" borderId="255" xfId="0" applyFont="1" applyFill="1" applyBorder="1" applyAlignment="1">
      <alignment horizontal="left" shrinkToFit="1"/>
    </xf>
    <xf numFmtId="0" fontId="28" fillId="21" borderId="231" xfId="0" applyFont="1" applyFill="1" applyBorder="1" applyAlignment="1">
      <alignment horizontal="center" wrapText="1"/>
    </xf>
    <xf numFmtId="0" fontId="31" fillId="0" borderId="89" xfId="0" applyFont="1" applyBorder="1" applyAlignment="1">
      <alignment horizontal="center" wrapText="1"/>
    </xf>
    <xf numFmtId="0" fontId="3" fillId="21" borderId="87" xfId="0" applyFont="1" applyFill="1" applyBorder="1" applyAlignment="1">
      <alignment horizontal="right" shrinkToFit="1"/>
    </xf>
    <xf numFmtId="0" fontId="0" fillId="0" borderId="87" xfId="0" applyFont="1" applyBorder="1" applyAlignment="1">
      <alignment shrinkToFit="1"/>
    </xf>
    <xf numFmtId="0" fontId="0" fillId="0" borderId="205" xfId="0" applyFont="1" applyBorder="1" applyAlignment="1">
      <alignment shrinkToFit="1"/>
    </xf>
    <xf numFmtId="0" fontId="3" fillId="21" borderId="229" xfId="0" applyFont="1" applyFill="1" applyBorder="1" applyAlignment="1">
      <alignment horizontal="center" vertical="center" textRotation="255"/>
    </xf>
    <xf numFmtId="0" fontId="0" fillId="0" borderId="228" xfId="0" applyBorder="1" applyAlignment="1">
      <alignment horizontal="center" vertical="center" textRotation="255"/>
    </xf>
    <xf numFmtId="0" fontId="0" fillId="0" borderId="205" xfId="0" applyBorder="1" applyAlignment="1">
      <alignment horizontal="center" vertical="center" textRotation="255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123" xfId="0" applyFont="1" applyBorder="1" applyAlignment="1">
      <alignment horizontal="center" vertical="center"/>
    </xf>
    <xf numFmtId="181" fontId="24" fillId="0" borderId="164" xfId="0" applyNumberFormat="1" applyFont="1" applyBorder="1" applyAlignment="1" applyProtection="1">
      <alignment horizontal="left" vertical="center" wrapText="1"/>
      <protection locked="0"/>
    </xf>
    <xf numFmtId="181" fontId="24" fillId="0" borderId="39" xfId="0" applyNumberFormat="1" applyFont="1" applyBorder="1" applyAlignment="1" applyProtection="1">
      <alignment horizontal="left" vertical="center" wrapText="1"/>
      <protection locked="0"/>
    </xf>
    <xf numFmtId="181" fontId="24" fillId="0" borderId="40" xfId="0" applyNumberFormat="1" applyFont="1" applyBorder="1" applyAlignment="1" applyProtection="1">
      <alignment horizontal="left" vertical="center" wrapText="1"/>
      <protection locked="0"/>
    </xf>
    <xf numFmtId="0" fontId="7" fillId="0" borderId="165" xfId="0" applyFont="1" applyBorder="1" applyAlignment="1" applyProtection="1">
      <alignment horizontal="center" vertical="center"/>
    </xf>
    <xf numFmtId="0" fontId="12" fillId="0" borderId="166" xfId="0" applyFont="1" applyBorder="1" applyAlignment="1" applyProtection="1">
      <alignment horizontal="center" vertical="center"/>
    </xf>
    <xf numFmtId="0" fontId="12" fillId="0" borderId="65" xfId="0" applyFont="1" applyBorder="1" applyAlignment="1" applyProtection="1">
      <alignment horizontal="center" vertical="center"/>
    </xf>
    <xf numFmtId="0" fontId="12" fillId="0" borderId="66" xfId="0" applyFont="1" applyBorder="1" applyAlignment="1" applyProtection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179" fontId="17" fillId="0" borderId="171" xfId="0" applyNumberFormat="1" applyFont="1" applyBorder="1" applyAlignment="1">
      <alignment horizontal="center" vertical="center" shrinkToFit="1"/>
    </xf>
    <xf numFmtId="179" fontId="17" fillId="0" borderId="172" xfId="0" applyNumberFormat="1" applyFont="1" applyBorder="1" applyAlignment="1">
      <alignment horizontal="center" vertical="center" shrinkToFit="1"/>
    </xf>
    <xf numFmtId="0" fontId="21" fillId="0" borderId="0" xfId="0" applyFont="1" applyAlignment="1" applyProtection="1">
      <alignment horizontal="center" vertical="center"/>
      <protection locked="0"/>
    </xf>
    <xf numFmtId="179" fontId="17" fillId="0" borderId="167" xfId="0" applyNumberFormat="1" applyFont="1" applyBorder="1" applyAlignment="1" applyProtection="1">
      <alignment horizontal="center" vertical="center" shrinkToFit="1"/>
      <protection locked="0"/>
    </xf>
    <xf numFmtId="179" fontId="17" fillId="0" borderId="101" xfId="0" applyNumberFormat="1" applyFont="1" applyBorder="1" applyAlignment="1" applyProtection="1">
      <alignment horizontal="center" vertical="center" shrinkToFit="1"/>
      <protection locked="0"/>
    </xf>
    <xf numFmtId="179" fontId="17" fillId="0" borderId="102" xfId="0" applyNumberFormat="1" applyFont="1" applyBorder="1" applyAlignment="1" applyProtection="1">
      <alignment horizontal="center" vertical="center" shrinkToFit="1"/>
      <protection locked="0"/>
    </xf>
    <xf numFmtId="179" fontId="17" fillId="0" borderId="168" xfId="0" applyNumberFormat="1" applyFont="1" applyBorder="1" applyAlignment="1" applyProtection="1">
      <alignment horizontal="center" vertical="center" shrinkToFit="1"/>
      <protection locked="0"/>
    </xf>
    <xf numFmtId="0" fontId="21" fillId="0" borderId="157" xfId="0" applyFont="1" applyBorder="1" applyAlignment="1" applyProtection="1">
      <alignment horizontal="center" vertical="center"/>
      <protection locked="0"/>
    </xf>
    <xf numFmtId="0" fontId="21" fillId="9" borderId="157" xfId="0" applyFont="1" applyFill="1" applyBorder="1" applyAlignment="1" applyProtection="1">
      <alignment vertical="center" shrinkToFit="1"/>
      <protection locked="0"/>
    </xf>
    <xf numFmtId="0" fontId="17" fillId="0" borderId="124" xfId="0" applyFont="1" applyBorder="1" applyAlignment="1">
      <alignment horizontal="center" vertical="center" shrinkToFit="1"/>
    </xf>
    <xf numFmtId="9" fontId="17" fillId="10" borderId="169" xfId="0" applyNumberFormat="1" applyFont="1" applyFill="1" applyBorder="1" applyAlignment="1" applyProtection="1">
      <alignment horizontal="center" vertical="center" shrinkToFit="1"/>
      <protection locked="0"/>
    </xf>
    <xf numFmtId="9" fontId="0" fillId="10" borderId="139" xfId="0" applyNumberFormat="1" applyFill="1" applyBorder="1" applyAlignment="1">
      <alignment horizontal="center" vertical="center" shrinkToFit="1"/>
    </xf>
    <xf numFmtId="0" fontId="17" fillId="0" borderId="171" xfId="0" applyFont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178" fontId="17" fillId="0" borderId="170" xfId="0" applyNumberFormat="1" applyFont="1" applyBorder="1" applyAlignment="1" applyProtection="1">
      <alignment horizontal="left" vertical="center" shrinkToFit="1"/>
      <protection locked="0"/>
    </xf>
    <xf numFmtId="178" fontId="17" fillId="0" borderId="127" xfId="0" applyNumberFormat="1" applyFont="1" applyBorder="1" applyAlignment="1" applyProtection="1">
      <alignment horizontal="left" vertical="center" shrinkToFit="1"/>
      <protection locked="0"/>
    </xf>
    <xf numFmtId="178" fontId="17" fillId="0" borderId="147" xfId="0" applyNumberFormat="1" applyFont="1" applyBorder="1" applyAlignment="1" applyProtection="1">
      <alignment horizontal="left" vertical="center" shrinkToFit="1"/>
      <protection locked="0"/>
    </xf>
    <xf numFmtId="0" fontId="23" fillId="0" borderId="177" xfId="0" applyFont="1" applyBorder="1" applyAlignment="1">
      <alignment horizontal="center" vertical="center" shrinkToFit="1"/>
    </xf>
    <xf numFmtId="0" fontId="23" fillId="0" borderId="178" xfId="0" applyFont="1" applyBorder="1" applyAlignment="1">
      <alignment horizontal="center" vertical="center" shrinkToFit="1"/>
    </xf>
    <xf numFmtId="0" fontId="23" fillId="0" borderId="90" xfId="0" applyFont="1" applyBorder="1" applyAlignment="1">
      <alignment horizontal="center" vertical="center" shrinkToFit="1"/>
    </xf>
    <xf numFmtId="0" fontId="23" fillId="0" borderId="177" xfId="0" applyFont="1" applyBorder="1" applyAlignment="1">
      <alignment horizontal="center" shrinkToFit="1"/>
    </xf>
    <xf numFmtId="0" fontId="23" fillId="0" borderId="178" xfId="0" applyFont="1" applyBorder="1" applyAlignment="1">
      <alignment horizontal="center" shrinkToFit="1"/>
    </xf>
    <xf numFmtId="0" fontId="0" fillId="0" borderId="178" xfId="0" applyBorder="1" applyAlignment="1">
      <alignment horizontal="center" shrinkToFit="1"/>
    </xf>
    <xf numFmtId="0" fontId="0" fillId="0" borderId="90" xfId="0" applyBorder="1" applyAlignment="1">
      <alignment horizontal="center" shrinkToFit="1"/>
    </xf>
    <xf numFmtId="0" fontId="0" fillId="0" borderId="178" xfId="0" applyBorder="1" applyAlignment="1">
      <alignment shrinkToFit="1"/>
    </xf>
    <xf numFmtId="0" fontId="0" fillId="0" borderId="90" xfId="0" applyBorder="1" applyAlignment="1">
      <alignment shrinkToFit="1"/>
    </xf>
    <xf numFmtId="0" fontId="23" fillId="11" borderId="174" xfId="0" applyFont="1" applyFill="1" applyBorder="1" applyAlignment="1">
      <alignment horizontal="center" vertical="center"/>
    </xf>
    <xf numFmtId="0" fontId="23" fillId="11" borderId="141" xfId="0" applyFont="1" applyFill="1" applyBorder="1" applyAlignment="1">
      <alignment horizontal="center" vertical="center"/>
    </xf>
    <xf numFmtId="0" fontId="23" fillId="11" borderId="97" xfId="0" applyFont="1" applyFill="1" applyBorder="1" applyAlignment="1">
      <alignment horizontal="center" vertical="center"/>
    </xf>
    <xf numFmtId="0" fontId="23" fillId="11" borderId="174" xfId="0" applyFont="1" applyFill="1" applyBorder="1" applyAlignment="1">
      <alignment horizontal="center" vertical="center" shrinkToFit="1"/>
    </xf>
    <xf numFmtId="0" fontId="23" fillId="11" borderId="141" xfId="0" applyFont="1" applyFill="1" applyBorder="1" applyAlignment="1">
      <alignment horizontal="center" vertical="center" shrinkToFit="1"/>
    </xf>
    <xf numFmtId="0" fontId="23" fillId="11" borderId="97" xfId="0" applyFont="1" applyFill="1" applyBorder="1" applyAlignment="1">
      <alignment horizontal="center" vertical="center" shrinkToFit="1"/>
    </xf>
    <xf numFmtId="0" fontId="23" fillId="11" borderId="175" xfId="0" applyFont="1" applyFill="1" applyBorder="1" applyAlignment="1">
      <alignment horizontal="center" vertical="center" shrinkToFit="1"/>
    </xf>
    <xf numFmtId="0" fontId="23" fillId="11" borderId="176" xfId="0" applyFont="1" applyFill="1" applyBorder="1" applyAlignment="1">
      <alignment horizontal="center" vertical="center" shrinkToFit="1"/>
    </xf>
    <xf numFmtId="0" fontId="23" fillId="11" borderId="92" xfId="0" applyFont="1" applyFill="1" applyBorder="1" applyAlignment="1">
      <alignment horizontal="center" vertical="center" shrinkToFit="1"/>
    </xf>
    <xf numFmtId="0" fontId="23" fillId="11" borderId="115" xfId="0" applyFont="1" applyFill="1" applyBorder="1" applyAlignment="1">
      <alignment horizontal="center" vertical="center"/>
    </xf>
    <xf numFmtId="0" fontId="23" fillId="11" borderId="142" xfId="0" applyFont="1" applyFill="1" applyBorder="1" applyAlignment="1">
      <alignment horizontal="center" vertical="center"/>
    </xf>
    <xf numFmtId="0" fontId="23" fillId="11" borderId="91" xfId="0" applyFont="1" applyFill="1" applyBorder="1" applyAlignment="1">
      <alignment horizontal="center" vertical="center"/>
    </xf>
    <xf numFmtId="0" fontId="23" fillId="11" borderId="115" xfId="0" applyFont="1" applyFill="1" applyBorder="1" applyAlignment="1">
      <alignment horizontal="center" vertical="center" shrinkToFit="1"/>
    </xf>
    <xf numFmtId="0" fontId="23" fillId="11" borderId="142" xfId="0" applyFont="1" applyFill="1" applyBorder="1" applyAlignment="1">
      <alignment horizontal="center" vertical="center" shrinkToFit="1"/>
    </xf>
    <xf numFmtId="0" fontId="23" fillId="11" borderId="91" xfId="0" applyFont="1" applyFill="1" applyBorder="1" applyAlignment="1">
      <alignment horizontal="center" vertical="center" shrinkToFit="1"/>
    </xf>
    <xf numFmtId="0" fontId="4" fillId="17" borderId="126" xfId="0" applyFont="1" applyFill="1" applyBorder="1" applyAlignment="1">
      <alignment horizontal="center" vertical="center"/>
    </xf>
    <xf numFmtId="0" fontId="0" fillId="17" borderId="127" xfId="0" applyFont="1" applyFill="1" applyBorder="1" applyAlignment="1">
      <alignment horizontal="center" vertical="center"/>
    </xf>
    <xf numFmtId="0" fontId="4" fillId="26" borderId="126" xfId="0" applyFont="1" applyFill="1" applyBorder="1" applyAlignment="1">
      <alignment horizontal="center" vertical="center"/>
    </xf>
    <xf numFmtId="0" fontId="0" fillId="26" borderId="127" xfId="0" applyFont="1" applyFill="1" applyBorder="1" applyAlignment="1">
      <alignment horizontal="center" vertical="center"/>
    </xf>
    <xf numFmtId="0" fontId="0" fillId="26" borderId="157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vertical="center"/>
    </xf>
    <xf numFmtId="0" fontId="9" fillId="0" borderId="120" xfId="0" applyFont="1" applyFill="1" applyBorder="1" applyAlignment="1">
      <alignment horizontal="center" vertical="center" textRotation="255"/>
    </xf>
    <xf numFmtId="0" fontId="9" fillId="0" borderId="95" xfId="0" applyFont="1" applyFill="1" applyBorder="1" applyAlignment="1">
      <alignment horizontal="center" vertical="center" textRotation="255"/>
    </xf>
    <xf numFmtId="0" fontId="9" fillId="0" borderId="23" xfId="0" applyFont="1" applyFill="1" applyBorder="1" applyAlignment="1">
      <alignment horizontal="center" vertical="center" textRotation="255"/>
    </xf>
    <xf numFmtId="0" fontId="9" fillId="0" borderId="85" xfId="0" applyFont="1" applyFill="1" applyBorder="1" applyAlignment="1">
      <alignment horizontal="center" vertical="center" textRotation="255"/>
    </xf>
    <xf numFmtId="0" fontId="9" fillId="29" borderId="231" xfId="0" applyFont="1" applyFill="1" applyBorder="1" applyAlignment="1">
      <alignment horizontal="center" vertical="center" textRotation="255"/>
    </xf>
    <xf numFmtId="0" fontId="9" fillId="29" borderId="121" xfId="0" applyFont="1" applyFill="1" applyBorder="1" applyAlignment="1">
      <alignment horizontal="center" vertical="center" textRotation="255"/>
    </xf>
    <xf numFmtId="0" fontId="0" fillId="0" borderId="95" xfId="0" applyBorder="1" applyAlignment="1">
      <alignment horizontal="center" vertical="center" textRotation="255"/>
    </xf>
    <xf numFmtId="0" fontId="9" fillId="29" borderId="120" xfId="0" applyFont="1" applyFill="1" applyBorder="1" applyAlignment="1">
      <alignment horizontal="center" vertical="center" textRotation="255"/>
    </xf>
    <xf numFmtId="0" fontId="9" fillId="29" borderId="95" xfId="0" applyFont="1" applyFill="1" applyBorder="1" applyAlignment="1">
      <alignment horizontal="center" vertical="center" textRotation="255"/>
    </xf>
    <xf numFmtId="0" fontId="76" fillId="0" borderId="224" xfId="0" applyFont="1" applyFill="1" applyBorder="1" applyAlignment="1">
      <alignment horizontal="center" wrapText="1"/>
    </xf>
    <xf numFmtId="0" fontId="76" fillId="0" borderId="225" xfId="0" applyFont="1" applyFill="1" applyBorder="1" applyAlignment="1">
      <alignment horizontal="center" wrapText="1"/>
    </xf>
    <xf numFmtId="0" fontId="10" fillId="0" borderId="284" xfId="0" applyFont="1" applyFill="1" applyBorder="1" applyAlignment="1">
      <alignment horizontal="center" wrapText="1"/>
    </xf>
    <xf numFmtId="0" fontId="10" fillId="0" borderId="259" xfId="0" applyFont="1" applyFill="1" applyBorder="1" applyAlignment="1">
      <alignment horizontal="center" wrapText="1"/>
    </xf>
    <xf numFmtId="0" fontId="9" fillId="0" borderId="224" xfId="0" applyFont="1" applyFill="1" applyBorder="1" applyAlignment="1">
      <alignment horizontal="center"/>
    </xf>
    <xf numFmtId="0" fontId="9" fillId="0" borderId="226" xfId="0" applyFont="1" applyFill="1" applyBorder="1" applyAlignment="1">
      <alignment horizontal="center"/>
    </xf>
    <xf numFmtId="0" fontId="11" fillId="0" borderId="310" xfId="0" applyFont="1" applyFill="1" applyBorder="1" applyAlignment="1">
      <alignment horizontal="left"/>
    </xf>
    <xf numFmtId="0" fontId="11" fillId="0" borderId="261" xfId="0" applyFont="1" applyFill="1" applyBorder="1" applyAlignment="1">
      <alignment horizontal="left"/>
    </xf>
    <xf numFmtId="38" fontId="9" fillId="0" borderId="82" xfId="0" applyNumberFormat="1" applyFont="1" applyFill="1" applyBorder="1" applyAlignment="1">
      <alignment horizontal="left"/>
    </xf>
    <xf numFmtId="0" fontId="11" fillId="0" borderId="284" xfId="0" applyFont="1" applyFill="1" applyBorder="1" applyAlignment="1">
      <alignment horizontal="left"/>
    </xf>
    <xf numFmtId="38" fontId="9" fillId="0" borderId="85" xfId="0" applyNumberFormat="1" applyFont="1" applyFill="1" applyBorder="1" applyAlignment="1">
      <alignment horizontal="left"/>
    </xf>
    <xf numFmtId="0" fontId="9" fillId="0" borderId="231" xfId="0" applyFont="1" applyFill="1" applyBorder="1" applyAlignment="1">
      <alignment horizontal="center" vertical="center" wrapText="1"/>
    </xf>
    <xf numFmtId="0" fontId="9" fillId="0" borderId="89" xfId="0" applyFont="1" applyFill="1" applyBorder="1" applyAlignment="1">
      <alignment horizontal="center" vertical="center" wrapText="1"/>
    </xf>
    <xf numFmtId="0" fontId="11" fillId="0" borderId="284" xfId="0" applyFont="1" applyFill="1" applyBorder="1" applyAlignment="1">
      <alignment horizontal="left" shrinkToFit="1"/>
    </xf>
    <xf numFmtId="0" fontId="11" fillId="0" borderId="259" xfId="0" applyFont="1" applyFill="1" applyBorder="1" applyAlignment="1">
      <alignment horizontal="left" shrinkToFit="1"/>
    </xf>
    <xf numFmtId="0" fontId="9" fillId="29" borderId="287" xfId="0" applyFont="1" applyFill="1" applyBorder="1" applyAlignment="1">
      <alignment horizontal="center"/>
    </xf>
    <xf numFmtId="0" fontId="9" fillId="29" borderId="149" xfId="0" applyFont="1" applyFill="1" applyBorder="1" applyAlignment="1">
      <alignment horizontal="center"/>
    </xf>
    <xf numFmtId="0" fontId="9" fillId="29" borderId="261" xfId="0" applyFont="1" applyFill="1" applyBorder="1" applyAlignment="1">
      <alignment horizontal="center"/>
    </xf>
    <xf numFmtId="0" fontId="9" fillId="29" borderId="23" xfId="0" applyFont="1" applyFill="1" applyBorder="1" applyAlignment="1">
      <alignment horizontal="center" vertical="center" textRotation="255"/>
    </xf>
    <xf numFmtId="0" fontId="9" fillId="29" borderId="85" xfId="0" applyFont="1" applyFill="1" applyBorder="1" applyAlignment="1">
      <alignment horizontal="center" vertical="center" textRotation="255"/>
    </xf>
    <xf numFmtId="0" fontId="73" fillId="0" borderId="86" xfId="0" applyFont="1" applyBorder="1" applyAlignment="1">
      <alignment horizontal="left" vertical="center"/>
    </xf>
    <xf numFmtId="0" fontId="0" fillId="0" borderId="203" xfId="0" applyBorder="1" applyAlignment="1">
      <alignment horizontal="left" vertical="center"/>
    </xf>
    <xf numFmtId="0" fontId="24" fillId="0" borderId="308" xfId="0" applyFont="1" applyFill="1" applyBorder="1" applyAlignment="1">
      <alignment vertical="center" shrinkToFit="1"/>
    </xf>
    <xf numFmtId="0" fontId="24" fillId="0" borderId="229" xfId="0" applyFont="1" applyFill="1" applyBorder="1" applyAlignment="1">
      <alignment vertical="center" shrinkToFit="1"/>
    </xf>
    <xf numFmtId="0" fontId="58" fillId="0" borderId="86" xfId="0" applyFont="1" applyFill="1" applyBorder="1" applyAlignment="1">
      <alignment horizontal="left" vertical="center" shrinkToFit="1"/>
    </xf>
    <xf numFmtId="0" fontId="0" fillId="0" borderId="203" xfId="0" applyBorder="1" applyAlignment="1">
      <alignment horizontal="left" vertical="center" shrinkToFit="1"/>
    </xf>
    <xf numFmtId="0" fontId="17" fillId="0" borderId="231" xfId="0" applyFont="1" applyBorder="1" applyAlignment="1">
      <alignment horizontal="center" vertical="center" textRotation="255"/>
    </xf>
    <xf numFmtId="0" fontId="17" fillId="0" borderId="285" xfId="0" applyFont="1" applyBorder="1" applyAlignment="1">
      <alignment horizontal="center" vertical="center" textRotation="255"/>
    </xf>
    <xf numFmtId="0" fontId="17" fillId="0" borderId="89" xfId="0" applyFont="1" applyBorder="1" applyAlignment="1">
      <alignment horizontal="center" vertical="center" textRotation="255"/>
    </xf>
    <xf numFmtId="0" fontId="9" fillId="29" borderId="89" xfId="0" applyFont="1" applyFill="1" applyBorder="1" applyAlignment="1">
      <alignment horizontal="center" vertical="center" textRotation="255"/>
    </xf>
    <xf numFmtId="0" fontId="24" fillId="0" borderId="52" xfId="0" applyFont="1" applyFill="1" applyBorder="1" applyAlignment="1">
      <alignment horizontal="left" vertical="center"/>
    </xf>
    <xf numFmtId="0" fontId="23" fillId="0" borderId="140" xfId="0" applyFont="1" applyBorder="1" applyAlignment="1">
      <alignment horizontal="left" vertical="center"/>
    </xf>
    <xf numFmtId="0" fontId="70" fillId="0" borderId="0" xfId="0" applyFont="1" applyFill="1" applyBorder="1" applyAlignment="1">
      <alignment horizontal="distributed" vertical="center"/>
    </xf>
    <xf numFmtId="0" fontId="71" fillId="0" borderId="0" xfId="0" applyFont="1" applyAlignment="1">
      <alignment vertical="center"/>
    </xf>
    <xf numFmtId="0" fontId="53" fillId="0" borderId="225" xfId="0" applyFont="1" applyFill="1" applyBorder="1" applyAlignment="1">
      <alignment horizontal="distributed" vertical="center"/>
    </xf>
    <xf numFmtId="0" fontId="72" fillId="0" borderId="225" xfId="0" applyFont="1" applyBorder="1" applyAlignment="1">
      <alignment vertical="center"/>
    </xf>
    <xf numFmtId="0" fontId="53" fillId="0" borderId="139" xfId="0" applyFont="1" applyFill="1" applyBorder="1" applyAlignment="1">
      <alignment horizontal="distributed" vertical="center"/>
    </xf>
    <xf numFmtId="0" fontId="72" fillId="0" borderId="139" xfId="0" applyFont="1" applyBorder="1" applyAlignment="1">
      <alignment vertical="center"/>
    </xf>
    <xf numFmtId="0" fontId="72" fillId="0" borderId="15" xfId="0" applyFont="1" applyBorder="1" applyAlignment="1">
      <alignment vertical="center"/>
    </xf>
    <xf numFmtId="0" fontId="53" fillId="0" borderId="12" xfId="0" applyFont="1" applyFill="1" applyBorder="1" applyAlignment="1">
      <alignment horizontal="left" vertical="center" shrinkToFit="1"/>
    </xf>
    <xf numFmtId="0" fontId="53" fillId="0" borderId="287" xfId="0" applyFont="1" applyFill="1" applyBorder="1" applyAlignment="1">
      <alignment horizontal="left" vertical="center" shrinkToFit="1"/>
    </xf>
    <xf numFmtId="0" fontId="24" fillId="29" borderId="120" xfId="0" applyFont="1" applyFill="1" applyBorder="1" applyAlignment="1">
      <alignment horizontal="center" vertical="center" wrapText="1" shrinkToFit="1"/>
    </xf>
    <xf numFmtId="0" fontId="0" fillId="0" borderId="95" xfId="0" applyBorder="1" applyAlignment="1">
      <alignment horizontal="center" vertical="center" wrapText="1" shrinkToFit="1"/>
    </xf>
    <xf numFmtId="0" fontId="87" fillId="0" borderId="299" xfId="0" applyFont="1" applyFill="1" applyBorder="1" applyAlignment="1">
      <alignment vertical="center" wrapText="1"/>
    </xf>
    <xf numFmtId="0" fontId="87" fillId="0" borderId="256" xfId="0" applyFont="1" applyFill="1" applyBorder="1" applyAlignment="1">
      <alignment vertical="center" wrapText="1"/>
    </xf>
    <xf numFmtId="0" fontId="98" fillId="0" borderId="201" xfId="0" applyFont="1" applyFill="1" applyBorder="1" applyAlignment="1">
      <alignment vertical="center" wrapText="1"/>
    </xf>
    <xf numFmtId="0" fontId="98" fillId="0" borderId="228" xfId="0" applyFont="1" applyFill="1" applyBorder="1" applyAlignment="1">
      <alignment vertical="center" wrapText="1"/>
    </xf>
    <xf numFmtId="0" fontId="87" fillId="17" borderId="126" xfId="0" applyFont="1" applyFill="1" applyBorder="1" applyAlignment="1">
      <alignment horizontal="center" vertical="center"/>
    </xf>
    <xf numFmtId="0" fontId="81" fillId="17" borderId="127" xfId="0" applyFont="1" applyFill="1" applyBorder="1" applyAlignment="1">
      <alignment horizontal="center" vertical="center"/>
    </xf>
    <xf numFmtId="0" fontId="87" fillId="26" borderId="126" xfId="0" applyFont="1" applyFill="1" applyBorder="1" applyAlignment="1">
      <alignment horizontal="center" vertical="center"/>
    </xf>
    <xf numFmtId="0" fontId="81" fillId="26" borderId="127" xfId="0" applyFont="1" applyFill="1" applyBorder="1" applyAlignment="1">
      <alignment horizontal="center" vertical="center"/>
    </xf>
    <xf numFmtId="0" fontId="81" fillId="26" borderId="157" xfId="0" applyFont="1" applyFill="1" applyBorder="1" applyAlignment="1">
      <alignment horizontal="center" vertical="center"/>
    </xf>
    <xf numFmtId="0" fontId="87" fillId="0" borderId="155" xfId="0" applyFont="1" applyFill="1" applyBorder="1" applyAlignment="1">
      <alignment vertical="center" wrapText="1"/>
    </xf>
    <xf numFmtId="0" fontId="98" fillId="0" borderId="156" xfId="0" applyFont="1" applyFill="1" applyBorder="1" applyAlignment="1">
      <alignment vertical="center" wrapText="1"/>
    </xf>
    <xf numFmtId="0" fontId="87" fillId="0" borderId="169" xfId="0" applyFont="1" applyFill="1" applyBorder="1" applyAlignment="1">
      <alignment vertical="center"/>
    </xf>
    <xf numFmtId="0" fontId="81" fillId="0" borderId="96" xfId="0" applyFont="1" applyFill="1" applyBorder="1" applyAlignment="1">
      <alignment vertical="center"/>
    </xf>
    <xf numFmtId="0" fontId="87" fillId="30" borderId="144" xfId="0" applyFont="1" applyFill="1" applyBorder="1" applyAlignment="1">
      <alignment horizontal="left" vertical="center"/>
    </xf>
    <xf numFmtId="0" fontId="81" fillId="30" borderId="142" xfId="0" applyFont="1" applyFill="1" applyBorder="1" applyAlignment="1">
      <alignment horizontal="left" vertical="center"/>
    </xf>
    <xf numFmtId="0" fontId="81" fillId="30" borderId="140" xfId="0" applyFont="1" applyFill="1" applyBorder="1" applyAlignment="1">
      <alignment horizontal="left" vertical="center"/>
    </xf>
    <xf numFmtId="0" fontId="87" fillId="30" borderId="315" xfId="0" applyFont="1" applyFill="1" applyBorder="1" applyAlignment="1">
      <alignment horizontal="left" vertical="center"/>
    </xf>
    <xf numFmtId="0" fontId="81" fillId="30" borderId="157" xfId="0" applyFont="1" applyFill="1" applyBorder="1" applyAlignment="1">
      <alignment horizontal="left" vertical="center"/>
    </xf>
    <xf numFmtId="0" fontId="81" fillId="30" borderId="108" xfId="0" applyFont="1" applyFill="1" applyBorder="1" applyAlignment="1">
      <alignment horizontal="left" vertical="center"/>
    </xf>
    <xf numFmtId="0" fontId="78" fillId="0" borderId="120" xfId="0" applyFont="1" applyFill="1" applyBorder="1" applyAlignment="1">
      <alignment horizontal="center" vertical="center" textRotation="255"/>
    </xf>
    <xf numFmtId="0" fontId="78" fillId="0" borderId="95" xfId="0" applyFont="1" applyFill="1" applyBorder="1" applyAlignment="1">
      <alignment horizontal="center" vertical="center" textRotation="255"/>
    </xf>
    <xf numFmtId="0" fontId="78" fillId="0" borderId="23" xfId="0" applyFont="1" applyFill="1" applyBorder="1" applyAlignment="1">
      <alignment horizontal="center" vertical="center" textRotation="255"/>
    </xf>
    <xf numFmtId="0" fontId="78" fillId="0" borderId="85" xfId="0" applyFont="1" applyFill="1" applyBorder="1" applyAlignment="1">
      <alignment horizontal="center" vertical="center" textRotation="255"/>
    </xf>
    <xf numFmtId="0" fontId="87" fillId="0" borderId="299" xfId="0" applyFont="1" applyBorder="1" applyAlignment="1">
      <alignment vertical="center" wrapText="1"/>
    </xf>
    <xf numFmtId="0" fontId="87" fillId="0" borderId="256" xfId="0" applyFont="1" applyBorder="1" applyAlignment="1">
      <alignment vertical="center" wrapText="1"/>
    </xf>
    <xf numFmtId="0" fontId="87" fillId="0" borderId="155" xfId="0" applyFont="1" applyBorder="1" applyAlignment="1">
      <alignment vertical="center" wrapText="1"/>
    </xf>
    <xf numFmtId="0" fontId="98" fillId="0" borderId="201" xfId="0" applyFont="1" applyBorder="1" applyAlignment="1">
      <alignment vertical="center" wrapText="1"/>
    </xf>
    <xf numFmtId="0" fontId="98" fillId="0" borderId="228" xfId="0" applyFont="1" applyBorder="1" applyAlignment="1">
      <alignment vertical="center" wrapText="1"/>
    </xf>
    <xf numFmtId="0" fontId="98" fillId="0" borderId="156" xfId="0" applyFont="1" applyBorder="1" applyAlignment="1">
      <alignment vertical="center" wrapText="1"/>
    </xf>
    <xf numFmtId="0" fontId="87" fillId="0" borderId="169" xfId="0" applyFont="1" applyBorder="1" applyAlignment="1">
      <alignment vertical="center"/>
    </xf>
    <xf numFmtId="0" fontId="81" fillId="0" borderId="96" xfId="0" applyFont="1" applyBorder="1" applyAlignment="1">
      <alignment vertical="center"/>
    </xf>
    <xf numFmtId="0" fontId="78" fillId="0" borderId="224" xfId="0" applyFont="1" applyFill="1" applyBorder="1" applyAlignment="1">
      <alignment horizontal="center" vertical="center"/>
    </xf>
    <xf numFmtId="0" fontId="78" fillId="0" borderId="226" xfId="0" applyFont="1" applyFill="1" applyBorder="1" applyAlignment="1">
      <alignment horizontal="center" vertical="center"/>
    </xf>
    <xf numFmtId="0" fontId="90" fillId="0" borderId="310" xfId="0" applyFont="1" applyFill="1" applyBorder="1" applyAlignment="1">
      <alignment horizontal="left" vertical="center"/>
    </xf>
    <xf numFmtId="0" fontId="90" fillId="0" borderId="261" xfId="0" applyFont="1" applyFill="1" applyBorder="1" applyAlignment="1">
      <alignment horizontal="left" vertical="center"/>
    </xf>
    <xf numFmtId="0" fontId="78" fillId="29" borderId="231" xfId="0" applyFont="1" applyFill="1" applyBorder="1" applyAlignment="1">
      <alignment horizontal="center" vertical="center" textRotation="255"/>
    </xf>
    <xf numFmtId="0" fontId="78" fillId="29" borderId="121" xfId="0" applyFont="1" applyFill="1" applyBorder="1" applyAlignment="1">
      <alignment horizontal="center" vertical="center" textRotation="255"/>
    </xf>
    <xf numFmtId="0" fontId="81" fillId="0" borderId="121" xfId="0" applyFont="1" applyBorder="1" applyAlignment="1">
      <alignment horizontal="center" vertical="center" textRotation="255"/>
    </xf>
    <xf numFmtId="0" fontId="81" fillId="0" borderId="95" xfId="0" applyFont="1" applyBorder="1" applyAlignment="1">
      <alignment vertical="center"/>
    </xf>
    <xf numFmtId="0" fontId="78" fillId="29" borderId="120" xfId="0" applyFont="1" applyFill="1" applyBorder="1" applyAlignment="1">
      <alignment horizontal="center" vertical="center" textRotation="255"/>
    </xf>
    <xf numFmtId="0" fontId="81" fillId="0" borderId="95" xfId="0" applyFont="1" applyBorder="1" applyAlignment="1">
      <alignment horizontal="center" vertical="center" textRotation="255"/>
    </xf>
    <xf numFmtId="0" fontId="78" fillId="29" borderId="95" xfId="0" applyFont="1" applyFill="1" applyBorder="1" applyAlignment="1">
      <alignment horizontal="center" vertical="center" textRotation="255"/>
    </xf>
    <xf numFmtId="0" fontId="103" fillId="0" borderId="224" xfId="0" applyFont="1" applyFill="1" applyBorder="1" applyAlignment="1">
      <alignment horizontal="center" vertical="center" wrapText="1"/>
    </xf>
    <xf numFmtId="0" fontId="103" fillId="0" borderId="225" xfId="0" applyFont="1" applyFill="1" applyBorder="1" applyAlignment="1">
      <alignment horizontal="center" vertical="center" wrapText="1"/>
    </xf>
    <xf numFmtId="0" fontId="87" fillId="0" borderId="284" xfId="0" applyFont="1" applyFill="1" applyBorder="1" applyAlignment="1">
      <alignment horizontal="center" vertical="center" wrapText="1"/>
    </xf>
    <xf numFmtId="0" fontId="87" fillId="0" borderId="259" xfId="0" applyFont="1" applyFill="1" applyBorder="1" applyAlignment="1">
      <alignment horizontal="center" vertical="center" wrapText="1"/>
    </xf>
    <xf numFmtId="38" fontId="78" fillId="0" borderId="82" xfId="0" applyNumberFormat="1" applyFont="1" applyFill="1" applyBorder="1" applyAlignment="1">
      <alignment horizontal="left" vertical="center"/>
    </xf>
    <xf numFmtId="0" fontId="90" fillId="0" borderId="284" xfId="0" applyFont="1" applyFill="1" applyBorder="1" applyAlignment="1">
      <alignment horizontal="left" vertical="center"/>
    </xf>
    <xf numFmtId="38" fontId="78" fillId="0" borderId="85" xfId="0" applyNumberFormat="1" applyFont="1" applyFill="1" applyBorder="1" applyAlignment="1">
      <alignment horizontal="left" vertical="center"/>
    </xf>
    <xf numFmtId="0" fontId="78" fillId="0" borderId="231" xfId="0" applyFont="1" applyFill="1" applyBorder="1" applyAlignment="1">
      <alignment horizontal="center" vertical="center" wrapText="1"/>
    </xf>
    <xf numFmtId="0" fontId="78" fillId="0" borderId="89" xfId="0" applyFont="1" applyFill="1" applyBorder="1" applyAlignment="1">
      <alignment horizontal="center" vertical="center" wrapText="1"/>
    </xf>
    <xf numFmtId="0" fontId="90" fillId="0" borderId="284" xfId="0" applyFont="1" applyFill="1" applyBorder="1" applyAlignment="1">
      <alignment horizontal="left" vertical="center" shrinkToFit="1"/>
    </xf>
    <xf numFmtId="0" fontId="90" fillId="0" borderId="259" xfId="0" applyFont="1" applyFill="1" applyBorder="1" applyAlignment="1">
      <alignment horizontal="left" vertical="center" shrinkToFit="1"/>
    </xf>
    <xf numFmtId="0" fontId="83" fillId="0" borderId="231" xfId="0" applyFont="1" applyFill="1" applyBorder="1" applyAlignment="1">
      <alignment horizontal="center" vertical="center" wrapText="1"/>
    </xf>
    <xf numFmtId="0" fontId="83" fillId="0" borderId="89" xfId="0" applyFont="1" applyFill="1" applyBorder="1" applyAlignment="1">
      <alignment horizontal="center" vertical="center" wrapText="1"/>
    </xf>
    <xf numFmtId="0" fontId="104" fillId="0" borderId="310" xfId="0" applyFont="1" applyFill="1" applyBorder="1" applyAlignment="1">
      <alignment horizontal="left" vertical="center" shrinkToFit="1"/>
    </xf>
    <xf numFmtId="0" fontId="104" fillId="0" borderId="284" xfId="0" applyFont="1" applyFill="1" applyBorder="1" applyAlignment="1">
      <alignment horizontal="left" vertical="center" shrinkToFit="1"/>
    </xf>
    <xf numFmtId="0" fontId="83" fillId="0" borderId="287" xfId="0" applyFont="1" applyFill="1" applyBorder="1" applyAlignment="1">
      <alignment horizontal="center" vertical="center" shrinkToFit="1"/>
    </xf>
    <xf numFmtId="0" fontId="83" fillId="0" borderId="149" xfId="0" applyFont="1" applyFill="1" applyBorder="1" applyAlignment="1">
      <alignment horizontal="center" vertical="center" shrinkToFit="1"/>
    </xf>
    <xf numFmtId="0" fontId="83" fillId="0" borderId="288" xfId="0" applyFont="1" applyFill="1" applyBorder="1" applyAlignment="1">
      <alignment horizontal="center" vertical="center" shrinkToFit="1"/>
    </xf>
    <xf numFmtId="0" fontId="83" fillId="29" borderId="231" xfId="0" applyFont="1" applyFill="1" applyBorder="1" applyAlignment="1">
      <alignment horizontal="center" vertical="center" textRotation="255"/>
    </xf>
    <xf numFmtId="0" fontId="83" fillId="29" borderId="121" xfId="0" applyFont="1" applyFill="1" applyBorder="1" applyAlignment="1">
      <alignment horizontal="center" vertical="center" textRotation="255"/>
    </xf>
    <xf numFmtId="0" fontId="83" fillId="29" borderId="95" xfId="0" applyFont="1" applyFill="1" applyBorder="1" applyAlignment="1">
      <alignment horizontal="center" vertical="center" textRotation="255"/>
    </xf>
    <xf numFmtId="0" fontId="83" fillId="29" borderId="120" xfId="0" applyFont="1" applyFill="1" applyBorder="1" applyAlignment="1">
      <alignment horizontal="center" vertical="center" textRotation="255"/>
    </xf>
    <xf numFmtId="0" fontId="83" fillId="29" borderId="140" xfId="0" applyFont="1" applyFill="1" applyBorder="1" applyAlignment="1">
      <alignment horizontal="center" vertical="center" textRotation="255"/>
    </xf>
    <xf numFmtId="0" fontId="106" fillId="0" borderId="231" xfId="0" applyFont="1" applyFill="1" applyBorder="1" applyAlignment="1">
      <alignment horizontal="center" vertical="center" wrapText="1"/>
    </xf>
    <xf numFmtId="0" fontId="106" fillId="0" borderId="89" xfId="0" applyFont="1" applyFill="1" applyBorder="1" applyAlignment="1">
      <alignment horizontal="center" vertical="center" wrapText="1"/>
    </xf>
    <xf numFmtId="0" fontId="104" fillId="0" borderId="259" xfId="0" applyFont="1" applyFill="1" applyBorder="1" applyAlignment="1">
      <alignment horizontal="left" vertical="center" shrinkToFit="1"/>
    </xf>
    <xf numFmtId="0" fontId="83" fillId="0" borderId="261" xfId="0" applyFont="1" applyFill="1" applyBorder="1" applyAlignment="1">
      <alignment horizontal="center" vertical="center" shrinkToFit="1"/>
    </xf>
    <xf numFmtId="0" fontId="78" fillId="29" borderId="224" xfId="0" applyFont="1" applyFill="1" applyBorder="1" applyAlignment="1">
      <alignment horizontal="center" vertical="center"/>
    </xf>
    <xf numFmtId="0" fontId="78" fillId="29" borderId="226" xfId="0" applyFont="1" applyFill="1" applyBorder="1" applyAlignment="1">
      <alignment horizontal="center" vertical="center"/>
    </xf>
    <xf numFmtId="0" fontId="78" fillId="29" borderId="284" xfId="0" applyFont="1" applyFill="1" applyBorder="1" applyAlignment="1">
      <alignment horizontal="center" vertical="center"/>
    </xf>
    <xf numFmtId="0" fontId="78" fillId="29" borderId="287" xfId="0" applyFont="1" applyFill="1" applyBorder="1" applyAlignment="1">
      <alignment horizontal="center" vertical="center" textRotation="255"/>
    </xf>
    <xf numFmtId="0" fontId="78" fillId="29" borderId="149" xfId="0" applyFont="1" applyFill="1" applyBorder="1" applyAlignment="1">
      <alignment horizontal="center" vertical="center" textRotation="255"/>
    </xf>
    <xf numFmtId="0" fontId="78" fillId="29" borderId="94" xfId="0" applyFont="1" applyFill="1" applyBorder="1" applyAlignment="1">
      <alignment horizontal="center" vertical="center" textRotation="255"/>
    </xf>
    <xf numFmtId="0" fontId="78" fillId="29" borderId="119" xfId="0" applyFont="1" applyFill="1" applyBorder="1" applyAlignment="1">
      <alignment horizontal="center" vertical="center" textRotation="255"/>
    </xf>
    <xf numFmtId="0" fontId="93" fillId="17" borderId="52" xfId="0" applyFont="1" applyFill="1" applyBorder="1" applyAlignment="1">
      <alignment horizontal="left" vertical="center" shrinkToFit="1"/>
    </xf>
    <xf numFmtId="0" fontId="93" fillId="17" borderId="142" xfId="0" applyFont="1" applyFill="1" applyBorder="1" applyAlignment="1">
      <alignment horizontal="left" vertical="center" shrinkToFit="1"/>
    </xf>
    <xf numFmtId="0" fontId="93" fillId="17" borderId="140" xfId="0" applyFont="1" applyFill="1" applyBorder="1" applyAlignment="1">
      <alignment horizontal="left" vertical="center" shrinkToFit="1"/>
    </xf>
    <xf numFmtId="0" fontId="78" fillId="29" borderId="24" xfId="0" applyFont="1" applyFill="1" applyBorder="1" applyAlignment="1">
      <alignment horizontal="center" vertical="center" textRotation="255"/>
    </xf>
    <xf numFmtId="0" fontId="78" fillId="29" borderId="84" xfId="0" applyFont="1" applyFill="1" applyBorder="1" applyAlignment="1">
      <alignment horizontal="center" vertical="center" textRotation="255"/>
    </xf>
    <xf numFmtId="0" fontId="91" fillId="0" borderId="142" xfId="0" applyFont="1" applyBorder="1" applyAlignment="1">
      <alignment horizontal="right" vertical="center"/>
    </xf>
    <xf numFmtId="0" fontId="91" fillId="0" borderId="140" xfId="0" applyFont="1" applyBorder="1" applyAlignment="1">
      <alignment horizontal="right" vertical="center"/>
    </xf>
    <xf numFmtId="0" fontId="91" fillId="0" borderId="174" xfId="0" applyFont="1" applyBorder="1" applyAlignment="1">
      <alignment horizontal="right" vertical="center" wrapText="1" shrinkToFit="1"/>
    </xf>
    <xf numFmtId="0" fontId="91" fillId="0" borderId="141" xfId="0" applyFont="1" applyBorder="1" applyAlignment="1">
      <alignment horizontal="right" vertical="center" shrinkToFit="1"/>
    </xf>
    <xf numFmtId="0" fontId="91" fillId="0" borderId="156" xfId="0" applyFont="1" applyBorder="1" applyAlignment="1">
      <alignment horizontal="right" vertical="center" shrinkToFit="1"/>
    </xf>
    <xf numFmtId="0" fontId="91" fillId="0" borderId="284" xfId="0" applyFont="1" applyBorder="1" applyAlignment="1">
      <alignment horizontal="right" vertical="center" wrapText="1" shrinkToFit="1"/>
    </xf>
    <xf numFmtId="0" fontId="91" fillId="0" borderId="259" xfId="0" applyFont="1" applyBorder="1" applyAlignment="1">
      <alignment horizontal="right" vertical="center" shrinkToFit="1"/>
    </xf>
    <xf numFmtId="0" fontId="91" fillId="0" borderId="286" xfId="0" applyFont="1" applyBorder="1" applyAlignment="1">
      <alignment horizontal="right" vertical="center" shrinkToFit="1"/>
    </xf>
    <xf numFmtId="0" fontId="92" fillId="0" borderId="231" xfId="0" applyFont="1" applyBorder="1" applyAlignment="1">
      <alignment horizontal="center" vertical="center" textRotation="255"/>
    </xf>
    <xf numFmtId="0" fontId="92" fillId="0" borderId="285" xfId="0" applyFont="1" applyBorder="1" applyAlignment="1">
      <alignment horizontal="center" vertical="center" textRotation="255"/>
    </xf>
    <xf numFmtId="0" fontId="92" fillId="0" borderId="89" xfId="0" applyFont="1" applyBorder="1" applyAlignment="1">
      <alignment horizontal="center" vertical="center" textRotation="255"/>
    </xf>
    <xf numFmtId="0" fontId="93" fillId="0" borderId="149" xfId="0" applyFont="1" applyFill="1" applyBorder="1" applyAlignment="1">
      <alignment horizontal="center" vertical="center" shrinkToFit="1"/>
    </xf>
    <xf numFmtId="0" fontId="93" fillId="29" borderId="120" xfId="0" applyFont="1" applyFill="1" applyBorder="1" applyAlignment="1">
      <alignment horizontal="center" vertical="center" wrapText="1" shrinkToFit="1"/>
    </xf>
    <xf numFmtId="0" fontId="81" fillId="0" borderId="95" xfId="0" applyFont="1" applyBorder="1" applyAlignment="1">
      <alignment horizontal="center" vertical="center" wrapText="1" shrinkToFit="1"/>
    </xf>
    <xf numFmtId="0" fontId="93" fillId="0" borderId="52" xfId="0" applyFont="1" applyFill="1" applyBorder="1" applyAlignment="1">
      <alignment horizontal="left" vertical="center"/>
    </xf>
    <xf numFmtId="0" fontId="92" fillId="0" borderId="140" xfId="0" applyFont="1" applyBorder="1" applyAlignment="1">
      <alignment horizontal="left" vertical="center"/>
    </xf>
    <xf numFmtId="0" fontId="95" fillId="0" borderId="86" xfId="0" applyFont="1" applyBorder="1" applyAlignment="1">
      <alignment horizontal="left" vertical="center"/>
    </xf>
    <xf numFmtId="0" fontId="81" fillId="0" borderId="203" xfId="0" applyFont="1" applyBorder="1" applyAlignment="1">
      <alignment horizontal="left" vertical="center"/>
    </xf>
    <xf numFmtId="0" fontId="93" fillId="0" borderId="308" xfId="0" applyFont="1" applyFill="1" applyBorder="1" applyAlignment="1">
      <alignment vertical="center" shrinkToFit="1"/>
    </xf>
    <xf numFmtId="0" fontId="93" fillId="0" borderId="229" xfId="0" applyFont="1" applyFill="1" applyBorder="1" applyAlignment="1">
      <alignment vertical="center" shrinkToFit="1"/>
    </xf>
    <xf numFmtId="0" fontId="95" fillId="0" borderId="86" xfId="0" applyFont="1" applyFill="1" applyBorder="1" applyAlignment="1">
      <alignment horizontal="left" vertical="center" shrinkToFit="1"/>
    </xf>
    <xf numFmtId="0" fontId="81" fillId="0" borderId="203" xfId="0" applyFont="1" applyBorder="1" applyAlignment="1">
      <alignment horizontal="left" vertical="center" shrinkToFit="1"/>
    </xf>
    <xf numFmtId="0" fontId="78" fillId="29" borderId="89" xfId="0" applyFont="1" applyFill="1" applyBorder="1" applyAlignment="1">
      <alignment horizontal="center" vertical="center" textRotation="255"/>
    </xf>
    <xf numFmtId="0" fontId="88" fillId="0" borderId="12" xfId="0" applyFont="1" applyFill="1" applyBorder="1" applyAlignment="1">
      <alignment horizontal="left" vertical="center" shrinkToFit="1"/>
    </xf>
    <xf numFmtId="0" fontId="88" fillId="0" borderId="287" xfId="0" applyFont="1" applyFill="1" applyBorder="1" applyAlignment="1">
      <alignment horizontal="left" vertical="center" shrinkToFit="1"/>
    </xf>
    <xf numFmtId="0" fontId="91" fillId="0" borderId="178" xfId="0" applyFont="1" applyBorder="1" applyAlignment="1">
      <alignment horizontal="right" vertical="center"/>
    </xf>
    <xf numFmtId="0" fontId="91" fillId="0" borderId="233" xfId="0" applyFont="1" applyBorder="1" applyAlignment="1">
      <alignment horizontal="right" vertical="center"/>
    </xf>
    <xf numFmtId="0" fontId="91" fillId="0" borderId="141" xfId="0" applyFont="1" applyBorder="1" applyAlignment="1">
      <alignment horizontal="right" vertical="center" wrapText="1" shrinkToFit="1"/>
    </xf>
    <xf numFmtId="0" fontId="91" fillId="0" borderId="156" xfId="0" applyFont="1" applyBorder="1" applyAlignment="1">
      <alignment horizontal="right" vertical="center" wrapText="1" shrinkToFit="1"/>
    </xf>
    <xf numFmtId="0" fontId="91" fillId="0" borderId="175" xfId="0" applyFont="1" applyBorder="1" applyAlignment="1">
      <alignment horizontal="right" vertical="center" wrapText="1" shrinkToFit="1"/>
    </xf>
    <xf numFmtId="0" fontId="91" fillId="0" borderId="176" xfId="0" applyFont="1" applyBorder="1" applyAlignment="1">
      <alignment horizontal="right" vertical="center" wrapText="1" shrinkToFit="1"/>
    </xf>
    <xf numFmtId="0" fontId="91" fillId="0" borderId="203" xfId="0" applyFont="1" applyBorder="1" applyAlignment="1">
      <alignment horizontal="right" vertical="center" wrapText="1" shrinkToFit="1"/>
    </xf>
    <xf numFmtId="0" fontId="84" fillId="0" borderId="0" xfId="0" applyFont="1" applyFill="1" applyBorder="1" applyAlignment="1">
      <alignment horizontal="distributed" vertical="center"/>
    </xf>
    <xf numFmtId="0" fontId="85" fillId="0" borderId="0" xfId="0" applyFont="1" applyAlignment="1">
      <alignment vertical="center"/>
    </xf>
    <xf numFmtId="0" fontId="88" fillId="0" borderId="225" xfId="0" applyFont="1" applyFill="1" applyBorder="1" applyAlignment="1">
      <alignment horizontal="distributed" vertical="center"/>
    </xf>
    <xf numFmtId="0" fontId="89" fillId="0" borderId="225" xfId="0" applyFont="1" applyBorder="1" applyAlignment="1">
      <alignment vertical="center"/>
    </xf>
    <xf numFmtId="0" fontId="88" fillId="0" borderId="139" xfId="0" applyFont="1" applyFill="1" applyBorder="1" applyAlignment="1">
      <alignment horizontal="distributed" vertical="center"/>
    </xf>
    <xf numFmtId="0" fontId="89" fillId="0" borderId="139" xfId="0" applyFont="1" applyBorder="1" applyAlignment="1">
      <alignment vertical="center"/>
    </xf>
    <xf numFmtId="0" fontId="88" fillId="0" borderId="15" xfId="0" applyFont="1" applyFill="1" applyBorder="1" applyAlignment="1">
      <alignment horizontal="distributed" vertical="center"/>
    </xf>
    <xf numFmtId="0" fontId="89" fillId="0" borderId="15" xfId="0" applyFont="1" applyBorder="1" applyAlignment="1">
      <alignment vertical="center"/>
    </xf>
    <xf numFmtId="0" fontId="87" fillId="0" borderId="178" xfId="0" applyFont="1" applyFill="1" applyBorder="1" applyAlignment="1">
      <alignment horizontal="right" vertical="center" shrinkToFit="1"/>
    </xf>
    <xf numFmtId="0" fontId="87" fillId="0" borderId="233" xfId="0" applyFont="1" applyFill="1" applyBorder="1" applyAlignment="1">
      <alignment horizontal="right" vertical="center" shrinkToFit="1"/>
    </xf>
    <xf numFmtId="0" fontId="87" fillId="0" borderId="176" xfId="0" applyFont="1" applyFill="1" applyBorder="1" applyAlignment="1">
      <alignment horizontal="right" vertical="center" shrinkToFit="1"/>
    </xf>
    <xf numFmtId="0" fontId="87" fillId="0" borderId="203" xfId="0" applyFont="1" applyFill="1" applyBorder="1" applyAlignment="1">
      <alignment horizontal="right" vertical="center" shrinkToFit="1"/>
    </xf>
    <xf numFmtId="179" fontId="17" fillId="0" borderId="112" xfId="0" applyNumberFormat="1" applyFont="1" applyBorder="1" applyAlignment="1" applyProtection="1">
      <alignment horizontal="center" vertical="center" shrinkToFit="1"/>
      <protection locked="0"/>
    </xf>
    <xf numFmtId="179" fontId="17" fillId="0" borderId="46" xfId="0" applyNumberFormat="1" applyFont="1" applyBorder="1" applyAlignment="1" applyProtection="1">
      <alignment horizontal="center" vertical="center" shrinkToFit="1"/>
      <protection locked="0"/>
    </xf>
    <xf numFmtId="179" fontId="17" fillId="0" borderId="171" xfId="0" applyNumberFormat="1" applyFont="1" applyBorder="1" applyAlignment="1" applyProtection="1">
      <alignment horizontal="center" vertical="center" shrinkToFit="1"/>
      <protection locked="0"/>
    </xf>
    <xf numFmtId="179" fontId="17" fillId="0" borderId="173" xfId="0" applyNumberFormat="1" applyFont="1" applyBorder="1" applyAlignment="1" applyProtection="1">
      <alignment horizontal="center" vertical="center" shrinkToFit="1"/>
      <protection locked="0"/>
    </xf>
  </cellXfs>
  <cellStyles count="5">
    <cellStyle name="パーセント 2" xfId="2" xr:uid="{00000000-0005-0000-0000-000000000000}"/>
    <cellStyle name="桁区切り" xfId="1" builtinId="6"/>
    <cellStyle name="桁区切り 2" xfId="3" xr:uid="{00000000-0005-0000-0000-000002000000}"/>
    <cellStyle name="標準" xfId="0" builtinId="0"/>
    <cellStyle name="標準 2" xfId="4" xr:uid="{00000000-0005-0000-0000-000004000000}"/>
  </cellStyles>
  <dxfs count="14"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9" defaultPivotStyle="PivotStyleLight16"/>
  <colors>
    <mruColors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6</xdr:row>
      <xdr:rowOff>120465</xdr:rowOff>
    </xdr:from>
    <xdr:to>
      <xdr:col>4</xdr:col>
      <xdr:colOff>299197</xdr:colOff>
      <xdr:row>11</xdr:row>
      <xdr:rowOff>295837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4923" y="1117789"/>
          <a:ext cx="2312333" cy="122872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10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194423</xdr:colOff>
      <xdr:row>0</xdr:row>
      <xdr:rowOff>142877</xdr:rowOff>
    </xdr:from>
    <xdr:to>
      <xdr:col>4</xdr:col>
      <xdr:colOff>299197</xdr:colOff>
      <xdr:row>8</xdr:row>
      <xdr:rowOff>38101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4923" y="142877"/>
          <a:ext cx="2314574" cy="1247774"/>
        </a:xfrm>
        <a:prstGeom prst="roundRect">
          <a:avLst/>
        </a:prstGeom>
        <a:solidFill>
          <a:schemeClr val="lt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今回設計変更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計上金額</a:t>
          </a:r>
        </a:p>
      </xdr:txBody>
    </xdr:sp>
    <xdr:clientData/>
  </xdr:twoCellAnchor>
  <xdr:twoCellAnchor>
    <xdr:from>
      <xdr:col>8</xdr:col>
      <xdr:colOff>1</xdr:colOff>
      <xdr:row>307</xdr:row>
      <xdr:rowOff>110378</xdr:rowOff>
    </xdr:from>
    <xdr:to>
      <xdr:col>13</xdr:col>
      <xdr:colOff>838760</xdr:colOff>
      <xdr:row>320</xdr:row>
      <xdr:rowOff>34178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143626" y="39839153"/>
          <a:ext cx="3010459" cy="240030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第２回変更　以降　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次回計上累計工事費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>
            <a:lnSpc>
              <a:spcPts val="2500"/>
            </a:lnSpc>
          </a:pPr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次回変更時は色塗り部の金額色塗り部を既発注入力欄に入力</a:t>
          </a:r>
        </a:p>
      </xdr:txBody>
    </xdr:sp>
    <xdr:clientData/>
  </xdr:twoCellAnchor>
  <xdr:twoCellAnchor>
    <xdr:from>
      <xdr:col>2</xdr:col>
      <xdr:colOff>4482</xdr:colOff>
      <xdr:row>91</xdr:row>
      <xdr:rowOff>44823</xdr:rowOff>
    </xdr:from>
    <xdr:to>
      <xdr:col>5</xdr:col>
      <xdr:colOff>537882</xdr:colOff>
      <xdr:row>93</xdr:row>
      <xdr:rowOff>85726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61682" y="14389473"/>
          <a:ext cx="2886075" cy="383803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828675</xdr:colOff>
      <xdr:row>0</xdr:row>
      <xdr:rowOff>57151</xdr:rowOff>
    </xdr:from>
    <xdr:to>
      <xdr:col>4</xdr:col>
      <xdr:colOff>200025</xdr:colOff>
      <xdr:row>1</xdr:row>
      <xdr:rowOff>114300</xdr:rowOff>
    </xdr:to>
    <xdr:sp macro="" textlink="">
      <xdr:nvSpPr>
        <xdr:cNvPr id="2" name="Text Box 21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>
          <a:spLocks noChangeArrowheads="1"/>
        </xdr:cNvSpPr>
      </xdr:nvSpPr>
      <xdr:spPr bwMode="auto">
        <a:xfrm>
          <a:off x="1295400" y="57151"/>
          <a:ext cx="3162300" cy="304799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  <xdr:twoCellAnchor>
    <xdr:from>
      <xdr:col>16</xdr:col>
      <xdr:colOff>649941</xdr:colOff>
      <xdr:row>3</xdr:row>
      <xdr:rowOff>313765</xdr:rowOff>
    </xdr:from>
    <xdr:to>
      <xdr:col>19</xdr:col>
      <xdr:colOff>1109382</xdr:colOff>
      <xdr:row>6</xdr:row>
      <xdr:rowOff>134470</xdr:rowOff>
    </xdr:to>
    <xdr:sp macro="" textlink="">
      <xdr:nvSpPr>
        <xdr:cNvPr id="3" name="左矢印吹き出し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 bwMode="auto">
        <a:xfrm>
          <a:off x="13289616" y="809065"/>
          <a:ext cx="4031316" cy="982755"/>
        </a:xfrm>
        <a:prstGeom prst="leftArrowCallout">
          <a:avLst>
            <a:gd name="adj1" fmla="val 25000"/>
            <a:gd name="adj2" fmla="val 25000"/>
            <a:gd name="adj3" fmla="val 25000"/>
            <a:gd name="adj4" fmla="val 93348"/>
          </a:avLst>
        </a:prstGeom>
        <a:solidFill>
          <a:schemeClr val="accent5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anchorCtr="0" upright="1"/>
        <a:lstStyle/>
        <a:p>
          <a:pPr algn="l"/>
          <a:r>
            <a:rPr kumimoji="1" lang="ja-JP" altLang="en-US" sz="1000"/>
            <a:t>資産管理明細書は事業単位で作成して下さい。</a:t>
          </a:r>
          <a:endParaRPr kumimoji="1" lang="en-US" altLang="ja-JP" sz="1000"/>
        </a:p>
        <a:p>
          <a:pPr algn="l"/>
          <a:r>
            <a:rPr kumimoji="1" lang="ja-JP" altLang="en-US" sz="1000"/>
            <a:t>例：２つの事業を一つの工事で発注する場合（ＷＢＳ管理シートが２枚有る場合）はＬ２セルに２を入力し、資産管理明細書を２枚作成。</a:t>
          </a:r>
          <a:r>
            <a:rPr kumimoji="1" lang="en-US" altLang="ja-JP" sz="1000"/>
            <a:t>※</a:t>
          </a:r>
          <a:r>
            <a:rPr kumimoji="1" lang="ja-JP" altLang="en-US" sz="1000"/>
            <a:t>１事業で分類が多く、複数枚に跨るのはＯＫ。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68</xdr:row>
      <xdr:rowOff>28575</xdr:rowOff>
    </xdr:from>
    <xdr:to>
      <xdr:col>18</xdr:col>
      <xdr:colOff>85725</xdr:colOff>
      <xdr:row>78</xdr:row>
      <xdr:rowOff>76200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8782050" y="11001375"/>
          <a:ext cx="5829300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【</a:t>
          </a:r>
          <a:r>
            <a:rPr kumimoji="1" lang="ja-JP" altLang="en-US" sz="1100"/>
            <a:t>費用分類</a:t>
          </a:r>
          <a:r>
            <a:rPr kumimoji="1" lang="en-US" altLang="ja-JP" sz="1100"/>
            <a:t>】,</a:t>
          </a:r>
          <a:r>
            <a:rPr kumimoji="1" lang="ja-JP" altLang="en-US" sz="1100"/>
            <a:t>費用</a:t>
          </a:r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,【</a:t>
          </a:r>
          <a:r>
            <a:rPr kumimoji="1" lang="ja-JP" altLang="en-US" sz="1100"/>
            <a:t>資産区分</a:t>
          </a:r>
          <a:r>
            <a:rPr kumimoji="1" lang="en-US" altLang="ja-JP" sz="1100"/>
            <a:t>】,</a:t>
          </a:r>
          <a:r>
            <a:rPr kumimoji="1" lang="ja-JP" altLang="en-US" sz="1100"/>
            <a:t>＜建物附属設備＞</a:t>
          </a:r>
          <a:r>
            <a:rPr kumimoji="1" lang="en-US" altLang="ja-JP" sz="1100"/>
            <a:t>,</a:t>
          </a:r>
          <a:r>
            <a:rPr kumimoji="1" lang="ja-JP" altLang="en-US" sz="1100"/>
            <a:t>店舗用簡易設備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簡易なもの</a:t>
          </a:r>
          <a:r>
            <a:rPr kumimoji="1" lang="en-US" altLang="ja-JP" sz="1100"/>
            <a:t>,</a:t>
          </a:r>
          <a:r>
            <a:rPr kumimoji="1" lang="ja-JP" altLang="en-US" sz="1100"/>
            <a:t>可動間仕切り</a:t>
          </a:r>
          <a:r>
            <a:rPr kumimoji="1" lang="en-US" altLang="ja-JP" sz="1100"/>
            <a:t>-</a:t>
          </a:r>
          <a:r>
            <a:rPr kumimoji="1" lang="ja-JP" altLang="en-US" sz="1100"/>
            <a:t>その他</a:t>
          </a:r>
          <a:r>
            <a:rPr kumimoji="1" lang="en-US" altLang="ja-JP" sz="1100"/>
            <a:t>,</a:t>
          </a:r>
          <a:r>
            <a:rPr kumimoji="1" lang="ja-JP" altLang="en-US" sz="1100"/>
            <a:t>シャッター・止水鉄扉等（金属製）</a:t>
          </a:r>
          <a:r>
            <a:rPr kumimoji="1" lang="en-US" altLang="ja-JP" sz="1100"/>
            <a:t>,</a:t>
          </a:r>
        </a:p>
        <a:p>
          <a:r>
            <a:rPr kumimoji="1" lang="en-US" altLang="ja-JP" sz="1100"/>
            <a:t>,</a:t>
          </a:r>
          <a:r>
            <a:rPr kumimoji="1" lang="ja-JP" altLang="en-US" sz="1100"/>
            <a:t>　</a:t>
          </a:r>
          <a:r>
            <a:rPr kumimoji="1" lang="en-US" altLang="ja-JP" sz="1100"/>
            <a:t>,</a:t>
          </a:r>
          <a:r>
            <a:rPr kumimoji="1" lang="ja-JP" altLang="en-US" sz="1100"/>
            <a:t>＜工具・器具・備品＞</a:t>
          </a:r>
          <a:r>
            <a:rPr kumimoji="1" lang="en-US" altLang="ja-JP" sz="1100"/>
            <a:t>,</a:t>
          </a:r>
          <a:r>
            <a:rPr kumimoji="1" lang="ja-JP" altLang="en-US" sz="1100"/>
            <a:t>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非電照サイン（金属製）</a:t>
          </a:r>
          <a:r>
            <a:rPr kumimoji="1" lang="en-US" altLang="ja-JP" sz="1100"/>
            <a:t>,</a:t>
          </a:r>
          <a:r>
            <a:rPr kumimoji="1" lang="ja-JP" altLang="en-US" sz="1100"/>
            <a:t>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非電照広告（金属製）</a:t>
          </a:r>
          <a:r>
            <a:rPr kumimoji="1" lang="en-US" altLang="ja-JP" sz="1100"/>
            <a:t>,</a:t>
          </a:r>
          <a:r>
            <a:rPr kumimoji="1" lang="ja-JP" altLang="en-US" sz="1100"/>
            <a:t>電気設備</a:t>
          </a:r>
          <a:r>
            <a:rPr kumimoji="1" lang="en-US" altLang="ja-JP" sz="1100"/>
            <a:t>,</a:t>
          </a:r>
          <a:r>
            <a:rPr kumimoji="1" lang="ja-JP" altLang="en-US" sz="1100"/>
            <a:t>非電照サイン（その他）</a:t>
          </a:r>
          <a:r>
            <a:rPr kumimoji="1" lang="en-US" altLang="ja-JP" sz="1100"/>
            <a:t>,</a:t>
          </a:r>
          <a:r>
            <a:rPr kumimoji="1" lang="ja-JP" altLang="en-US" sz="1100"/>
            <a:t>非電照広告（その他）</a:t>
          </a:r>
          <a:r>
            <a:rPr kumimoji="1" lang="en-US" altLang="ja-JP" sz="1100"/>
            <a:t>,</a:t>
          </a:r>
          <a:r>
            <a:rPr kumimoji="1" lang="ja-JP" altLang="en-US" sz="1100"/>
            <a:t>無人駐車管理装置</a:t>
          </a:r>
          <a:r>
            <a:rPr kumimoji="1" lang="en-US" altLang="ja-JP" sz="1100"/>
            <a:t>,</a:t>
          </a:r>
          <a:r>
            <a:rPr kumimoji="1" lang="ja-JP" altLang="en-US" sz="1100"/>
            <a:t>その他（金属製）</a:t>
          </a:r>
          <a:r>
            <a:rPr kumimoji="1" lang="en-US" altLang="ja-JP" sz="1100"/>
            <a:t>,</a:t>
          </a:r>
          <a:r>
            <a:rPr kumimoji="1" lang="ja-JP" altLang="en-US" sz="1100"/>
            <a:t>その他（その他）</a:t>
          </a:r>
        </a:p>
      </xdr:txBody>
    </xdr:sp>
    <xdr:clientData/>
  </xdr:twoCellAnchor>
  <xdr:twoCellAnchor>
    <xdr:from>
      <xdr:col>0</xdr:col>
      <xdr:colOff>0</xdr:colOff>
      <xdr:row>6</xdr:row>
      <xdr:rowOff>1</xdr:rowOff>
    </xdr:from>
    <xdr:to>
      <xdr:col>3</xdr:col>
      <xdr:colOff>690618</xdr:colOff>
      <xdr:row>9</xdr:row>
      <xdr:rowOff>71736</xdr:rowOff>
    </xdr:to>
    <xdr:sp macro="[0]!諸経費表からリンク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0" y="1008530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手順①</a:t>
          </a:r>
        </a:p>
        <a:p>
          <a:pPr algn="l"/>
          <a:r>
            <a:rPr kumimoji="1" lang="ja-JP" altLang="en-US" sz="1000"/>
            <a:t>諸経費表が完成したらクリック</a:t>
          </a:r>
        </a:p>
      </xdr:txBody>
    </xdr:sp>
    <xdr:clientData/>
  </xdr:twoCellAnchor>
  <xdr:twoCellAnchor>
    <xdr:from>
      <xdr:col>0</xdr:col>
      <xdr:colOff>0</xdr:colOff>
      <xdr:row>9</xdr:row>
      <xdr:rowOff>156881</xdr:rowOff>
    </xdr:from>
    <xdr:to>
      <xdr:col>3</xdr:col>
      <xdr:colOff>690618</xdr:colOff>
      <xdr:row>13</xdr:row>
      <xdr:rowOff>60528</xdr:rowOff>
    </xdr:to>
    <xdr:sp macro="[0]!H列をコピーして追加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 bwMode="auto">
        <a:xfrm>
          <a:off x="0" y="1669675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手順②</a:t>
          </a:r>
        </a:p>
        <a:p>
          <a:pPr algn="l"/>
          <a:r>
            <a:rPr kumimoji="1" lang="ja-JP" altLang="en-US" sz="1000"/>
            <a:t>Ｈ列が完成したらクリック（工事２以降がある場合）</a:t>
          </a:r>
          <a:endParaRPr kumimoji="1" lang="en-US" altLang="ja-JP" sz="1000" baseline="0"/>
        </a:p>
      </xdr:txBody>
    </xdr:sp>
    <xdr:clientData/>
  </xdr:twoCellAnchor>
  <xdr:twoCellAnchor>
    <xdr:from>
      <xdr:col>0</xdr:col>
      <xdr:colOff>0</xdr:colOff>
      <xdr:row>13</xdr:row>
      <xdr:rowOff>156882</xdr:rowOff>
    </xdr:from>
    <xdr:to>
      <xdr:col>3</xdr:col>
      <xdr:colOff>690618</xdr:colOff>
      <xdr:row>17</xdr:row>
      <xdr:rowOff>60529</xdr:rowOff>
    </xdr:to>
    <xdr:sp macro="[0]!表示設定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0" y="2342029"/>
          <a:ext cx="1800000" cy="576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ctr" upright="1"/>
        <a:lstStyle/>
        <a:p>
          <a:pPr algn="l"/>
          <a:r>
            <a:rPr kumimoji="1" lang="ja-JP" altLang="en-US" sz="1000"/>
            <a:t>手順③</a:t>
          </a:r>
        </a:p>
        <a:p>
          <a:pPr algn="l"/>
          <a:r>
            <a:rPr kumimoji="1" lang="ja-JP" altLang="en-US" sz="1000"/>
            <a:t>本表の金額入力が完了したらクリック（不要な行を非表示）</a:t>
          </a:r>
          <a:endParaRPr kumimoji="1" lang="en-US" altLang="ja-JP" sz="10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962025</xdr:colOff>
      <xdr:row>0</xdr:row>
      <xdr:rowOff>85725</xdr:rowOff>
    </xdr:from>
    <xdr:to>
      <xdr:col>4</xdr:col>
      <xdr:colOff>1647825</xdr:colOff>
      <xdr:row>1</xdr:row>
      <xdr:rowOff>238125</xdr:rowOff>
    </xdr:to>
    <xdr:sp macro="" textlink="">
      <xdr:nvSpPr>
        <xdr:cNvPr id="2261" name="Text Box 213">
          <a:extLst>
            <a:ext uri="{FF2B5EF4-FFF2-40B4-BE49-F238E27FC236}">
              <a16:creationId xmlns:a16="http://schemas.microsoft.com/office/drawing/2014/main" id="{00000000-0008-0000-0600-0000D5080000}"/>
            </a:ext>
          </a:extLst>
        </xdr:cNvPr>
        <xdr:cNvSpPr txBox="1">
          <a:spLocks noChangeArrowheads="1"/>
        </xdr:cNvSpPr>
      </xdr:nvSpPr>
      <xdr:spPr bwMode="auto">
        <a:xfrm>
          <a:off x="2019300" y="85725"/>
          <a:ext cx="2867025" cy="476250"/>
        </a:xfrm>
        <a:prstGeom prst="rect">
          <a:avLst/>
        </a:prstGeom>
        <a:solidFill>
          <a:srgbClr val="FFCC99"/>
        </a:solidFill>
        <a:ln w="19050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＜－工事名称を変更するときは</a:t>
          </a:r>
          <a:r>
            <a:rPr lang="en-US" altLang="ja-JP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､</a:t>
          </a:r>
          <a:r>
            <a:rPr lang="ja-JP" altLang="en-US" sz="14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Ｃ２のセルを変更してください。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314325</xdr:colOff>
      <xdr:row>0</xdr:row>
      <xdr:rowOff>123825</xdr:rowOff>
    </xdr:from>
    <xdr:to>
      <xdr:col>4</xdr:col>
      <xdr:colOff>1333500</xdr:colOff>
      <xdr:row>3</xdr:row>
      <xdr:rowOff>219075</xdr:rowOff>
    </xdr:to>
    <xdr:sp macro="" textlink="">
      <xdr:nvSpPr>
        <xdr:cNvPr id="11267" name="Text Box 3">
          <a:extLst>
            <a:ext uri="{FF2B5EF4-FFF2-40B4-BE49-F238E27FC236}">
              <a16:creationId xmlns:a16="http://schemas.microsoft.com/office/drawing/2014/main" id="{00000000-0008-0000-0900-0000032C0000}"/>
            </a:ext>
          </a:extLst>
        </xdr:cNvPr>
        <xdr:cNvSpPr txBox="1">
          <a:spLocks noChangeArrowheads="1"/>
        </xdr:cNvSpPr>
      </xdr:nvSpPr>
      <xdr:spPr bwMode="auto">
        <a:xfrm>
          <a:off x="714375" y="0"/>
          <a:ext cx="3857625" cy="54292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  <xdr:twoCellAnchor>
    <xdr:from>
      <xdr:col>2</xdr:col>
      <xdr:colOff>314325</xdr:colOff>
      <xdr:row>23</xdr:row>
      <xdr:rowOff>123825</xdr:rowOff>
    </xdr:from>
    <xdr:to>
      <xdr:col>4</xdr:col>
      <xdr:colOff>1333500</xdr:colOff>
      <xdr:row>26</xdr:row>
      <xdr:rowOff>219075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720725" y="0"/>
          <a:ext cx="3863975" cy="549275"/>
        </a:xfrm>
        <a:prstGeom prst="rect">
          <a:avLst/>
        </a:prstGeom>
        <a:solidFill>
          <a:srgbClr val="FFCC99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代価では、各ページの先頭行（名称の下の代価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??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の行）に、そのページの項目、単位を記載してください。コード入力の際に使用します。　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[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未使用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]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の欄を記入してください</a:t>
          </a: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.</a:t>
          </a:r>
        </a:p>
        <a:p>
          <a:pPr algn="l" rtl="0">
            <a:defRPr sz="1000"/>
          </a:pPr>
          <a:r>
            <a:rPr lang="en-US" altLang="ja-JP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Z</a:t>
          </a: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列以降に表計算が記入されています。</a:t>
          </a:r>
        </a:p>
        <a:p>
          <a:pPr algn="l" rtl="0">
            <a:defRPr sz="1000"/>
          </a:pPr>
          <a:r>
            <a:rPr lang="ja-JP" altLang="en-US" sz="12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！！！行全体の削除は止めてください！！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9217" name="Text Box 1">
          <a:extLst>
            <a:ext uri="{FF2B5EF4-FFF2-40B4-BE49-F238E27FC236}">
              <a16:creationId xmlns:a16="http://schemas.microsoft.com/office/drawing/2014/main" id="{00000000-0008-0000-0A00-00000124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9527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4" name="Text Box 1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5" name="Text Box 2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6" name="Text Box 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0</xdr:row>
      <xdr:rowOff>66675</xdr:rowOff>
    </xdr:from>
    <xdr:to>
      <xdr:col>4</xdr:col>
      <xdr:colOff>133350</xdr:colOff>
      <xdr:row>1</xdr:row>
      <xdr:rowOff>47625</xdr:rowOff>
    </xdr:to>
    <xdr:sp macro="" textlink="">
      <xdr:nvSpPr>
        <xdr:cNvPr id="17" name="Text Box 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6" name="Text Box 1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7" name="Text Box 2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8" name="Text Box 5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9" name="Text Box 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27</xdr:row>
      <xdr:rowOff>66675</xdr:rowOff>
    </xdr:from>
    <xdr:to>
      <xdr:col>4</xdr:col>
      <xdr:colOff>133350</xdr:colOff>
      <xdr:row>28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  <xdr:twoCellAnchor>
    <xdr:from>
      <xdr:col>1</xdr:col>
      <xdr:colOff>1266825</xdr:colOff>
      <xdr:row>21</xdr:row>
      <xdr:rowOff>19050</xdr:rowOff>
    </xdr:from>
    <xdr:to>
      <xdr:col>6</xdr:col>
      <xdr:colOff>400050</xdr:colOff>
      <xdr:row>27</xdr:row>
      <xdr:rowOff>47625</xdr:rowOff>
    </xdr:to>
    <xdr:sp macro="" textlink="">
      <xdr:nvSpPr>
        <xdr:cNvPr id="3" name="Text Box 4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1266825" y="3467100"/>
          <a:ext cx="3486150" cy="885825"/>
        </a:xfrm>
        <a:prstGeom prst="rect">
          <a:avLst/>
        </a:prstGeom>
        <a:solidFill>
          <a:srgbClr val="FFCC99"/>
        </a:solidFill>
        <a:ln w="57150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非表示セルにデータが入っています。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挿入する場合は、それぞれ下３行より上で挿入してください。また、削除も、下３行はしないでください。</a:t>
          </a:r>
        </a:p>
        <a:p>
          <a:pPr algn="l" rtl="0">
            <a:defRPr sz="1000"/>
          </a:pP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752475</xdr:colOff>
      <xdr:row>11</xdr:row>
      <xdr:rowOff>0</xdr:rowOff>
    </xdr:from>
    <xdr:to>
      <xdr:col>5</xdr:col>
      <xdr:colOff>828675</xdr:colOff>
      <xdr:row>12</xdr:row>
      <xdr:rowOff>57150</xdr:rowOff>
    </xdr:to>
    <xdr:sp macro="" textlink="">
      <xdr:nvSpPr>
        <xdr:cNvPr id="13335" name="Text Box 1">
          <a:extLst>
            <a:ext uri="{FF2B5EF4-FFF2-40B4-BE49-F238E27FC236}">
              <a16:creationId xmlns:a16="http://schemas.microsoft.com/office/drawing/2014/main" id="{00000000-0008-0000-0D00-000017340000}"/>
            </a:ext>
          </a:extLst>
        </xdr:cNvPr>
        <xdr:cNvSpPr txBox="1">
          <a:spLocks noChangeArrowheads="1"/>
        </xdr:cNvSpPr>
      </xdr:nvSpPr>
      <xdr:spPr bwMode="auto">
        <a:xfrm>
          <a:off x="4333875" y="1676400"/>
          <a:ext cx="76200" cy="2095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838200</xdr:colOff>
      <xdr:row>3</xdr:row>
      <xdr:rowOff>28575</xdr:rowOff>
    </xdr:from>
    <xdr:to>
      <xdr:col>9</xdr:col>
      <xdr:colOff>9525</xdr:colOff>
      <xdr:row>8</xdr:row>
      <xdr:rowOff>28575</xdr:rowOff>
    </xdr:to>
    <xdr:sp macro="" textlink="">
      <xdr:nvSpPr>
        <xdr:cNvPr id="13314" name="Text Box 2">
          <a:extLst>
            <a:ext uri="{FF2B5EF4-FFF2-40B4-BE49-F238E27FC236}">
              <a16:creationId xmlns:a16="http://schemas.microsoft.com/office/drawing/2014/main" id="{00000000-0008-0000-0D00-000002340000}"/>
            </a:ext>
          </a:extLst>
        </xdr:cNvPr>
        <xdr:cNvSpPr txBox="1">
          <a:spLocks noChangeArrowheads="1"/>
        </xdr:cNvSpPr>
      </xdr:nvSpPr>
      <xdr:spPr bwMode="auto">
        <a:xfrm>
          <a:off x="4419600" y="485775"/>
          <a:ext cx="2038350" cy="762000"/>
        </a:xfrm>
        <a:prstGeom prst="rect">
          <a:avLst/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コード番号は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100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以上。</a:t>
          </a:r>
        </a:p>
        <a:p>
          <a:pPr algn="l" rtl="0">
            <a:defRPr sz="1000"/>
          </a:pP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1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～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99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は代価（複合）で使用するため、</a:t>
          </a:r>
        </a:p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入力しても削除されます。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82</xdr:row>
      <xdr:rowOff>85725</xdr:rowOff>
    </xdr:from>
    <xdr:to>
      <xdr:col>4</xdr:col>
      <xdr:colOff>390525</xdr:colOff>
      <xdr:row>85</xdr:row>
      <xdr:rowOff>133351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6200" y="14030325"/>
          <a:ext cx="2886075" cy="561976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FF000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既発注工事費　入力欄</a:t>
          </a:r>
          <a:endParaRPr kumimoji="1" lang="en-US" altLang="ja-JP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  <a:p>
          <a:pPr algn="l"/>
          <a:endParaRPr kumimoji="1" lang="ja-JP" altLang="en-US" sz="20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rgbClr val="FF0000"/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7" name="Text Box 1">
          <a:extLst>
            <a:ext uri="{FF2B5EF4-FFF2-40B4-BE49-F238E27FC236}">
              <a16:creationId xmlns:a16="http://schemas.microsoft.com/office/drawing/2014/main" id="{00000000-0008-0000-1000-000001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38" name="Text Box 2">
          <a:extLst>
            <a:ext uri="{FF2B5EF4-FFF2-40B4-BE49-F238E27FC236}">
              <a16:creationId xmlns:a16="http://schemas.microsoft.com/office/drawing/2014/main" id="{00000000-0008-0000-1000-000002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1" name="Text Box 5">
          <a:extLst>
            <a:ext uri="{FF2B5EF4-FFF2-40B4-BE49-F238E27FC236}">
              <a16:creationId xmlns:a16="http://schemas.microsoft.com/office/drawing/2014/main" id="{00000000-0008-0000-1000-000005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4342" name="Text Box 6">
          <a:extLst>
            <a:ext uri="{FF2B5EF4-FFF2-40B4-BE49-F238E27FC236}">
              <a16:creationId xmlns:a16="http://schemas.microsoft.com/office/drawing/2014/main" id="{00000000-0008-0000-1000-000006380000}"/>
            </a:ext>
          </a:extLst>
        </xdr:cNvPr>
        <xdr:cNvSpPr txBox="1">
          <a:spLocks noChangeArrowheads="1"/>
        </xdr:cNvSpPr>
      </xdr:nvSpPr>
      <xdr:spPr bwMode="auto">
        <a:xfrm>
          <a:off x="104775" y="24450675"/>
          <a:ext cx="260985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1" name="Text Box 2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2" name="Text Box 5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  <xdr:twoCellAnchor>
    <xdr:from>
      <xdr:col>0</xdr:col>
      <xdr:colOff>104775</xdr:colOff>
      <xdr:row>109</xdr:row>
      <xdr:rowOff>66675</xdr:rowOff>
    </xdr:from>
    <xdr:to>
      <xdr:col>4</xdr:col>
      <xdr:colOff>133350</xdr:colOff>
      <xdr:row>110</xdr:row>
      <xdr:rowOff>47625</xdr:rowOff>
    </xdr:to>
    <xdr:sp macro="" textlink="">
      <xdr:nvSpPr>
        <xdr:cNvPr id="13" name="Text Box 6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>
          <a:spLocks noChangeArrowheads="1"/>
        </xdr:cNvSpPr>
      </xdr:nvSpPr>
      <xdr:spPr bwMode="auto">
        <a:xfrm>
          <a:off x="104775" y="66675"/>
          <a:ext cx="2133600" cy="228600"/>
        </a:xfrm>
        <a:prstGeom prst="rect">
          <a:avLst/>
        </a:pr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コード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No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は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3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桁までで代価一覧と重ならない数字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svfile92/svfile92/&#24314;&#31689;/&#31309;&#31639;/&#12415;&#12435;&#12394;&#12398;&#12527;&#12540;&#12463;&#12501;&#12457;&#12523;&#12480;/&#33509;&#23798;&#23515;&#23376;0410533/&#22266;&#23450;&#36039;&#29987;/&#32933;&#24460;&#27211;&#22806;2&#39365;&#12488;&#12452;&#12524;&#25913;&#36896;&#24037;&#20107;&#12288;&#21442;&#32771;&#26126;&#32048;Ver500c&#65288;&#20837;&#21147;&#34920;&#20316;&#25104;&#35201;&#38936;&#12395;&#20351;&#29992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 tint="0.39997558519241921"/>
  </sheetPr>
  <dimension ref="A1:AM511"/>
  <sheetViews>
    <sheetView view="pageBreakPreview" topLeftCell="A55" zoomScale="85" zoomScaleNormal="100" zoomScaleSheetLayoutView="85" workbookViewId="0">
      <selection activeCell="H79" sqref="H79"/>
    </sheetView>
  </sheetViews>
  <sheetFormatPr baseColWidth="10" defaultColWidth="8.83203125" defaultRowHeight="13.5" customHeight="1"/>
  <cols>
    <col min="1" max="1" width="2.5" style="1287" customWidth="1"/>
    <col min="2" max="2" width="3.5" style="1287" customWidth="1"/>
    <col min="3" max="3" width="21.5" style="1287" customWidth="1"/>
    <col min="4" max="4" width="4" style="1287" customWidth="1"/>
    <col min="5" max="5" width="5.33203125" style="1287" customWidth="1"/>
    <col min="6" max="6" width="15.1640625" style="1287" customWidth="1"/>
    <col min="7" max="14" width="14.1640625" style="1288" customWidth="1"/>
    <col min="15" max="256" width="9" style="1287"/>
    <col min="257" max="257" width="2.5" style="1287" customWidth="1"/>
    <col min="258" max="258" width="3.5" style="1287" customWidth="1"/>
    <col min="259" max="259" width="21.5" style="1287" customWidth="1"/>
    <col min="260" max="260" width="4" style="1287" customWidth="1"/>
    <col min="261" max="261" width="5.33203125" style="1287" customWidth="1"/>
    <col min="262" max="262" width="15.1640625" style="1287" customWidth="1"/>
    <col min="263" max="270" width="14.1640625" style="1287" customWidth="1"/>
    <col min="271" max="512" width="9" style="1287"/>
    <col min="513" max="513" width="2.5" style="1287" customWidth="1"/>
    <col min="514" max="514" width="3.5" style="1287" customWidth="1"/>
    <col min="515" max="515" width="21.5" style="1287" customWidth="1"/>
    <col min="516" max="516" width="4" style="1287" customWidth="1"/>
    <col min="517" max="517" width="5.33203125" style="1287" customWidth="1"/>
    <col min="518" max="518" width="15.1640625" style="1287" customWidth="1"/>
    <col min="519" max="526" width="14.1640625" style="1287" customWidth="1"/>
    <col min="527" max="768" width="9" style="1287"/>
    <col min="769" max="769" width="2.5" style="1287" customWidth="1"/>
    <col min="770" max="770" width="3.5" style="1287" customWidth="1"/>
    <col min="771" max="771" width="21.5" style="1287" customWidth="1"/>
    <col min="772" max="772" width="4" style="1287" customWidth="1"/>
    <col min="773" max="773" width="5.33203125" style="1287" customWidth="1"/>
    <col min="774" max="774" width="15.1640625" style="1287" customWidth="1"/>
    <col min="775" max="782" width="14.1640625" style="1287" customWidth="1"/>
    <col min="783" max="1024" width="9" style="1287"/>
    <col min="1025" max="1025" width="2.5" style="1287" customWidth="1"/>
    <col min="1026" max="1026" width="3.5" style="1287" customWidth="1"/>
    <col min="1027" max="1027" width="21.5" style="1287" customWidth="1"/>
    <col min="1028" max="1028" width="4" style="1287" customWidth="1"/>
    <col min="1029" max="1029" width="5.33203125" style="1287" customWidth="1"/>
    <col min="1030" max="1030" width="15.1640625" style="1287" customWidth="1"/>
    <col min="1031" max="1038" width="14.1640625" style="1287" customWidth="1"/>
    <col min="1039" max="1280" width="9" style="1287"/>
    <col min="1281" max="1281" width="2.5" style="1287" customWidth="1"/>
    <col min="1282" max="1282" width="3.5" style="1287" customWidth="1"/>
    <col min="1283" max="1283" width="21.5" style="1287" customWidth="1"/>
    <col min="1284" max="1284" width="4" style="1287" customWidth="1"/>
    <col min="1285" max="1285" width="5.33203125" style="1287" customWidth="1"/>
    <col min="1286" max="1286" width="15.1640625" style="1287" customWidth="1"/>
    <col min="1287" max="1294" width="14.1640625" style="1287" customWidth="1"/>
    <col min="1295" max="1536" width="9" style="1287"/>
    <col min="1537" max="1537" width="2.5" style="1287" customWidth="1"/>
    <col min="1538" max="1538" width="3.5" style="1287" customWidth="1"/>
    <col min="1539" max="1539" width="21.5" style="1287" customWidth="1"/>
    <col min="1540" max="1540" width="4" style="1287" customWidth="1"/>
    <col min="1541" max="1541" width="5.33203125" style="1287" customWidth="1"/>
    <col min="1542" max="1542" width="15.1640625" style="1287" customWidth="1"/>
    <col min="1543" max="1550" width="14.1640625" style="1287" customWidth="1"/>
    <col min="1551" max="1792" width="9" style="1287"/>
    <col min="1793" max="1793" width="2.5" style="1287" customWidth="1"/>
    <col min="1794" max="1794" width="3.5" style="1287" customWidth="1"/>
    <col min="1795" max="1795" width="21.5" style="1287" customWidth="1"/>
    <col min="1796" max="1796" width="4" style="1287" customWidth="1"/>
    <col min="1797" max="1797" width="5.33203125" style="1287" customWidth="1"/>
    <col min="1798" max="1798" width="15.1640625" style="1287" customWidth="1"/>
    <col min="1799" max="1806" width="14.1640625" style="1287" customWidth="1"/>
    <col min="1807" max="2048" width="9" style="1287"/>
    <col min="2049" max="2049" width="2.5" style="1287" customWidth="1"/>
    <col min="2050" max="2050" width="3.5" style="1287" customWidth="1"/>
    <col min="2051" max="2051" width="21.5" style="1287" customWidth="1"/>
    <col min="2052" max="2052" width="4" style="1287" customWidth="1"/>
    <col min="2053" max="2053" width="5.33203125" style="1287" customWidth="1"/>
    <col min="2054" max="2054" width="15.1640625" style="1287" customWidth="1"/>
    <col min="2055" max="2062" width="14.1640625" style="1287" customWidth="1"/>
    <col min="2063" max="2304" width="9" style="1287"/>
    <col min="2305" max="2305" width="2.5" style="1287" customWidth="1"/>
    <col min="2306" max="2306" width="3.5" style="1287" customWidth="1"/>
    <col min="2307" max="2307" width="21.5" style="1287" customWidth="1"/>
    <col min="2308" max="2308" width="4" style="1287" customWidth="1"/>
    <col min="2309" max="2309" width="5.33203125" style="1287" customWidth="1"/>
    <col min="2310" max="2310" width="15.1640625" style="1287" customWidth="1"/>
    <col min="2311" max="2318" width="14.1640625" style="1287" customWidth="1"/>
    <col min="2319" max="2560" width="9" style="1287"/>
    <col min="2561" max="2561" width="2.5" style="1287" customWidth="1"/>
    <col min="2562" max="2562" width="3.5" style="1287" customWidth="1"/>
    <col min="2563" max="2563" width="21.5" style="1287" customWidth="1"/>
    <col min="2564" max="2564" width="4" style="1287" customWidth="1"/>
    <col min="2565" max="2565" width="5.33203125" style="1287" customWidth="1"/>
    <col min="2566" max="2566" width="15.1640625" style="1287" customWidth="1"/>
    <col min="2567" max="2574" width="14.1640625" style="1287" customWidth="1"/>
    <col min="2575" max="2816" width="9" style="1287"/>
    <col min="2817" max="2817" width="2.5" style="1287" customWidth="1"/>
    <col min="2818" max="2818" width="3.5" style="1287" customWidth="1"/>
    <col min="2819" max="2819" width="21.5" style="1287" customWidth="1"/>
    <col min="2820" max="2820" width="4" style="1287" customWidth="1"/>
    <col min="2821" max="2821" width="5.33203125" style="1287" customWidth="1"/>
    <col min="2822" max="2822" width="15.1640625" style="1287" customWidth="1"/>
    <col min="2823" max="2830" width="14.1640625" style="1287" customWidth="1"/>
    <col min="2831" max="3072" width="9" style="1287"/>
    <col min="3073" max="3073" width="2.5" style="1287" customWidth="1"/>
    <col min="3074" max="3074" width="3.5" style="1287" customWidth="1"/>
    <col min="3075" max="3075" width="21.5" style="1287" customWidth="1"/>
    <col min="3076" max="3076" width="4" style="1287" customWidth="1"/>
    <col min="3077" max="3077" width="5.33203125" style="1287" customWidth="1"/>
    <col min="3078" max="3078" width="15.1640625" style="1287" customWidth="1"/>
    <col min="3079" max="3086" width="14.1640625" style="1287" customWidth="1"/>
    <col min="3087" max="3328" width="9" style="1287"/>
    <col min="3329" max="3329" width="2.5" style="1287" customWidth="1"/>
    <col min="3330" max="3330" width="3.5" style="1287" customWidth="1"/>
    <col min="3331" max="3331" width="21.5" style="1287" customWidth="1"/>
    <col min="3332" max="3332" width="4" style="1287" customWidth="1"/>
    <col min="3333" max="3333" width="5.33203125" style="1287" customWidth="1"/>
    <col min="3334" max="3334" width="15.1640625" style="1287" customWidth="1"/>
    <col min="3335" max="3342" width="14.1640625" style="1287" customWidth="1"/>
    <col min="3343" max="3584" width="9" style="1287"/>
    <col min="3585" max="3585" width="2.5" style="1287" customWidth="1"/>
    <col min="3586" max="3586" width="3.5" style="1287" customWidth="1"/>
    <col min="3587" max="3587" width="21.5" style="1287" customWidth="1"/>
    <col min="3588" max="3588" width="4" style="1287" customWidth="1"/>
    <col min="3589" max="3589" width="5.33203125" style="1287" customWidth="1"/>
    <col min="3590" max="3590" width="15.1640625" style="1287" customWidth="1"/>
    <col min="3591" max="3598" width="14.1640625" style="1287" customWidth="1"/>
    <col min="3599" max="3840" width="9" style="1287"/>
    <col min="3841" max="3841" width="2.5" style="1287" customWidth="1"/>
    <col min="3842" max="3842" width="3.5" style="1287" customWidth="1"/>
    <col min="3843" max="3843" width="21.5" style="1287" customWidth="1"/>
    <col min="3844" max="3844" width="4" style="1287" customWidth="1"/>
    <col min="3845" max="3845" width="5.33203125" style="1287" customWidth="1"/>
    <col min="3846" max="3846" width="15.1640625" style="1287" customWidth="1"/>
    <col min="3847" max="3854" width="14.1640625" style="1287" customWidth="1"/>
    <col min="3855" max="4096" width="9" style="1287"/>
    <col min="4097" max="4097" width="2.5" style="1287" customWidth="1"/>
    <col min="4098" max="4098" width="3.5" style="1287" customWidth="1"/>
    <col min="4099" max="4099" width="21.5" style="1287" customWidth="1"/>
    <col min="4100" max="4100" width="4" style="1287" customWidth="1"/>
    <col min="4101" max="4101" width="5.33203125" style="1287" customWidth="1"/>
    <col min="4102" max="4102" width="15.1640625" style="1287" customWidth="1"/>
    <col min="4103" max="4110" width="14.1640625" style="1287" customWidth="1"/>
    <col min="4111" max="4352" width="9" style="1287"/>
    <col min="4353" max="4353" width="2.5" style="1287" customWidth="1"/>
    <col min="4354" max="4354" width="3.5" style="1287" customWidth="1"/>
    <col min="4355" max="4355" width="21.5" style="1287" customWidth="1"/>
    <col min="4356" max="4356" width="4" style="1287" customWidth="1"/>
    <col min="4357" max="4357" width="5.33203125" style="1287" customWidth="1"/>
    <col min="4358" max="4358" width="15.1640625" style="1287" customWidth="1"/>
    <col min="4359" max="4366" width="14.1640625" style="1287" customWidth="1"/>
    <col min="4367" max="4608" width="9" style="1287"/>
    <col min="4609" max="4609" width="2.5" style="1287" customWidth="1"/>
    <col min="4610" max="4610" width="3.5" style="1287" customWidth="1"/>
    <col min="4611" max="4611" width="21.5" style="1287" customWidth="1"/>
    <col min="4612" max="4612" width="4" style="1287" customWidth="1"/>
    <col min="4613" max="4613" width="5.33203125" style="1287" customWidth="1"/>
    <col min="4614" max="4614" width="15.1640625" style="1287" customWidth="1"/>
    <col min="4615" max="4622" width="14.1640625" style="1287" customWidth="1"/>
    <col min="4623" max="4864" width="9" style="1287"/>
    <col min="4865" max="4865" width="2.5" style="1287" customWidth="1"/>
    <col min="4866" max="4866" width="3.5" style="1287" customWidth="1"/>
    <col min="4867" max="4867" width="21.5" style="1287" customWidth="1"/>
    <col min="4868" max="4868" width="4" style="1287" customWidth="1"/>
    <col min="4869" max="4869" width="5.33203125" style="1287" customWidth="1"/>
    <col min="4870" max="4870" width="15.1640625" style="1287" customWidth="1"/>
    <col min="4871" max="4878" width="14.1640625" style="1287" customWidth="1"/>
    <col min="4879" max="5120" width="9" style="1287"/>
    <col min="5121" max="5121" width="2.5" style="1287" customWidth="1"/>
    <col min="5122" max="5122" width="3.5" style="1287" customWidth="1"/>
    <col min="5123" max="5123" width="21.5" style="1287" customWidth="1"/>
    <col min="5124" max="5124" width="4" style="1287" customWidth="1"/>
    <col min="5125" max="5125" width="5.33203125" style="1287" customWidth="1"/>
    <col min="5126" max="5126" width="15.1640625" style="1287" customWidth="1"/>
    <col min="5127" max="5134" width="14.1640625" style="1287" customWidth="1"/>
    <col min="5135" max="5376" width="9" style="1287"/>
    <col min="5377" max="5377" width="2.5" style="1287" customWidth="1"/>
    <col min="5378" max="5378" width="3.5" style="1287" customWidth="1"/>
    <col min="5379" max="5379" width="21.5" style="1287" customWidth="1"/>
    <col min="5380" max="5380" width="4" style="1287" customWidth="1"/>
    <col min="5381" max="5381" width="5.33203125" style="1287" customWidth="1"/>
    <col min="5382" max="5382" width="15.1640625" style="1287" customWidth="1"/>
    <col min="5383" max="5390" width="14.1640625" style="1287" customWidth="1"/>
    <col min="5391" max="5632" width="9" style="1287"/>
    <col min="5633" max="5633" width="2.5" style="1287" customWidth="1"/>
    <col min="5634" max="5634" width="3.5" style="1287" customWidth="1"/>
    <col min="5635" max="5635" width="21.5" style="1287" customWidth="1"/>
    <col min="5636" max="5636" width="4" style="1287" customWidth="1"/>
    <col min="5637" max="5637" width="5.33203125" style="1287" customWidth="1"/>
    <col min="5638" max="5638" width="15.1640625" style="1287" customWidth="1"/>
    <col min="5639" max="5646" width="14.1640625" style="1287" customWidth="1"/>
    <col min="5647" max="5888" width="9" style="1287"/>
    <col min="5889" max="5889" width="2.5" style="1287" customWidth="1"/>
    <col min="5890" max="5890" width="3.5" style="1287" customWidth="1"/>
    <col min="5891" max="5891" width="21.5" style="1287" customWidth="1"/>
    <col min="5892" max="5892" width="4" style="1287" customWidth="1"/>
    <col min="5893" max="5893" width="5.33203125" style="1287" customWidth="1"/>
    <col min="5894" max="5894" width="15.1640625" style="1287" customWidth="1"/>
    <col min="5895" max="5902" width="14.1640625" style="1287" customWidth="1"/>
    <col min="5903" max="6144" width="9" style="1287"/>
    <col min="6145" max="6145" width="2.5" style="1287" customWidth="1"/>
    <col min="6146" max="6146" width="3.5" style="1287" customWidth="1"/>
    <col min="6147" max="6147" width="21.5" style="1287" customWidth="1"/>
    <col min="6148" max="6148" width="4" style="1287" customWidth="1"/>
    <col min="6149" max="6149" width="5.33203125" style="1287" customWidth="1"/>
    <col min="6150" max="6150" width="15.1640625" style="1287" customWidth="1"/>
    <col min="6151" max="6158" width="14.1640625" style="1287" customWidth="1"/>
    <col min="6159" max="6400" width="9" style="1287"/>
    <col min="6401" max="6401" width="2.5" style="1287" customWidth="1"/>
    <col min="6402" max="6402" width="3.5" style="1287" customWidth="1"/>
    <col min="6403" max="6403" width="21.5" style="1287" customWidth="1"/>
    <col min="6404" max="6404" width="4" style="1287" customWidth="1"/>
    <col min="6405" max="6405" width="5.33203125" style="1287" customWidth="1"/>
    <col min="6406" max="6406" width="15.1640625" style="1287" customWidth="1"/>
    <col min="6407" max="6414" width="14.1640625" style="1287" customWidth="1"/>
    <col min="6415" max="6656" width="9" style="1287"/>
    <col min="6657" max="6657" width="2.5" style="1287" customWidth="1"/>
    <col min="6658" max="6658" width="3.5" style="1287" customWidth="1"/>
    <col min="6659" max="6659" width="21.5" style="1287" customWidth="1"/>
    <col min="6660" max="6660" width="4" style="1287" customWidth="1"/>
    <col min="6661" max="6661" width="5.33203125" style="1287" customWidth="1"/>
    <col min="6662" max="6662" width="15.1640625" style="1287" customWidth="1"/>
    <col min="6663" max="6670" width="14.1640625" style="1287" customWidth="1"/>
    <col min="6671" max="6912" width="9" style="1287"/>
    <col min="6913" max="6913" width="2.5" style="1287" customWidth="1"/>
    <col min="6914" max="6914" width="3.5" style="1287" customWidth="1"/>
    <col min="6915" max="6915" width="21.5" style="1287" customWidth="1"/>
    <col min="6916" max="6916" width="4" style="1287" customWidth="1"/>
    <col min="6917" max="6917" width="5.33203125" style="1287" customWidth="1"/>
    <col min="6918" max="6918" width="15.1640625" style="1287" customWidth="1"/>
    <col min="6919" max="6926" width="14.1640625" style="1287" customWidth="1"/>
    <col min="6927" max="7168" width="9" style="1287"/>
    <col min="7169" max="7169" width="2.5" style="1287" customWidth="1"/>
    <col min="7170" max="7170" width="3.5" style="1287" customWidth="1"/>
    <col min="7171" max="7171" width="21.5" style="1287" customWidth="1"/>
    <col min="7172" max="7172" width="4" style="1287" customWidth="1"/>
    <col min="7173" max="7173" width="5.33203125" style="1287" customWidth="1"/>
    <col min="7174" max="7174" width="15.1640625" style="1287" customWidth="1"/>
    <col min="7175" max="7182" width="14.1640625" style="1287" customWidth="1"/>
    <col min="7183" max="7424" width="9" style="1287"/>
    <col min="7425" max="7425" width="2.5" style="1287" customWidth="1"/>
    <col min="7426" max="7426" width="3.5" style="1287" customWidth="1"/>
    <col min="7427" max="7427" width="21.5" style="1287" customWidth="1"/>
    <col min="7428" max="7428" width="4" style="1287" customWidth="1"/>
    <col min="7429" max="7429" width="5.33203125" style="1287" customWidth="1"/>
    <col min="7430" max="7430" width="15.1640625" style="1287" customWidth="1"/>
    <col min="7431" max="7438" width="14.1640625" style="1287" customWidth="1"/>
    <col min="7439" max="7680" width="9" style="1287"/>
    <col min="7681" max="7681" width="2.5" style="1287" customWidth="1"/>
    <col min="7682" max="7682" width="3.5" style="1287" customWidth="1"/>
    <col min="7683" max="7683" width="21.5" style="1287" customWidth="1"/>
    <col min="7684" max="7684" width="4" style="1287" customWidth="1"/>
    <col min="7685" max="7685" width="5.33203125" style="1287" customWidth="1"/>
    <col min="7686" max="7686" width="15.1640625" style="1287" customWidth="1"/>
    <col min="7687" max="7694" width="14.1640625" style="1287" customWidth="1"/>
    <col min="7695" max="7936" width="9" style="1287"/>
    <col min="7937" max="7937" width="2.5" style="1287" customWidth="1"/>
    <col min="7938" max="7938" width="3.5" style="1287" customWidth="1"/>
    <col min="7939" max="7939" width="21.5" style="1287" customWidth="1"/>
    <col min="7940" max="7940" width="4" style="1287" customWidth="1"/>
    <col min="7941" max="7941" width="5.33203125" style="1287" customWidth="1"/>
    <col min="7942" max="7942" width="15.1640625" style="1287" customWidth="1"/>
    <col min="7943" max="7950" width="14.1640625" style="1287" customWidth="1"/>
    <col min="7951" max="8192" width="9" style="1287"/>
    <col min="8193" max="8193" width="2.5" style="1287" customWidth="1"/>
    <col min="8194" max="8194" width="3.5" style="1287" customWidth="1"/>
    <col min="8195" max="8195" width="21.5" style="1287" customWidth="1"/>
    <col min="8196" max="8196" width="4" style="1287" customWidth="1"/>
    <col min="8197" max="8197" width="5.33203125" style="1287" customWidth="1"/>
    <col min="8198" max="8198" width="15.1640625" style="1287" customWidth="1"/>
    <col min="8199" max="8206" width="14.1640625" style="1287" customWidth="1"/>
    <col min="8207" max="8448" width="9" style="1287"/>
    <col min="8449" max="8449" width="2.5" style="1287" customWidth="1"/>
    <col min="8450" max="8450" width="3.5" style="1287" customWidth="1"/>
    <col min="8451" max="8451" width="21.5" style="1287" customWidth="1"/>
    <col min="8452" max="8452" width="4" style="1287" customWidth="1"/>
    <col min="8453" max="8453" width="5.33203125" style="1287" customWidth="1"/>
    <col min="8454" max="8454" width="15.1640625" style="1287" customWidth="1"/>
    <col min="8455" max="8462" width="14.1640625" style="1287" customWidth="1"/>
    <col min="8463" max="8704" width="9" style="1287"/>
    <col min="8705" max="8705" width="2.5" style="1287" customWidth="1"/>
    <col min="8706" max="8706" width="3.5" style="1287" customWidth="1"/>
    <col min="8707" max="8707" width="21.5" style="1287" customWidth="1"/>
    <col min="8708" max="8708" width="4" style="1287" customWidth="1"/>
    <col min="8709" max="8709" width="5.33203125" style="1287" customWidth="1"/>
    <col min="8710" max="8710" width="15.1640625" style="1287" customWidth="1"/>
    <col min="8711" max="8718" width="14.1640625" style="1287" customWidth="1"/>
    <col min="8719" max="8960" width="9" style="1287"/>
    <col min="8961" max="8961" width="2.5" style="1287" customWidth="1"/>
    <col min="8962" max="8962" width="3.5" style="1287" customWidth="1"/>
    <col min="8963" max="8963" width="21.5" style="1287" customWidth="1"/>
    <col min="8964" max="8964" width="4" style="1287" customWidth="1"/>
    <col min="8965" max="8965" width="5.33203125" style="1287" customWidth="1"/>
    <col min="8966" max="8966" width="15.1640625" style="1287" customWidth="1"/>
    <col min="8967" max="8974" width="14.1640625" style="1287" customWidth="1"/>
    <col min="8975" max="9216" width="9" style="1287"/>
    <col min="9217" max="9217" width="2.5" style="1287" customWidth="1"/>
    <col min="9218" max="9218" width="3.5" style="1287" customWidth="1"/>
    <col min="9219" max="9219" width="21.5" style="1287" customWidth="1"/>
    <col min="9220" max="9220" width="4" style="1287" customWidth="1"/>
    <col min="9221" max="9221" width="5.33203125" style="1287" customWidth="1"/>
    <col min="9222" max="9222" width="15.1640625" style="1287" customWidth="1"/>
    <col min="9223" max="9230" width="14.1640625" style="1287" customWidth="1"/>
    <col min="9231" max="9472" width="9" style="1287"/>
    <col min="9473" max="9473" width="2.5" style="1287" customWidth="1"/>
    <col min="9474" max="9474" width="3.5" style="1287" customWidth="1"/>
    <col min="9475" max="9475" width="21.5" style="1287" customWidth="1"/>
    <col min="9476" max="9476" width="4" style="1287" customWidth="1"/>
    <col min="9477" max="9477" width="5.33203125" style="1287" customWidth="1"/>
    <col min="9478" max="9478" width="15.1640625" style="1287" customWidth="1"/>
    <col min="9479" max="9486" width="14.1640625" style="1287" customWidth="1"/>
    <col min="9487" max="9728" width="9" style="1287"/>
    <col min="9729" max="9729" width="2.5" style="1287" customWidth="1"/>
    <col min="9730" max="9730" width="3.5" style="1287" customWidth="1"/>
    <col min="9731" max="9731" width="21.5" style="1287" customWidth="1"/>
    <col min="9732" max="9732" width="4" style="1287" customWidth="1"/>
    <col min="9733" max="9733" width="5.33203125" style="1287" customWidth="1"/>
    <col min="9734" max="9734" width="15.1640625" style="1287" customWidth="1"/>
    <col min="9735" max="9742" width="14.1640625" style="1287" customWidth="1"/>
    <col min="9743" max="9984" width="9" style="1287"/>
    <col min="9985" max="9985" width="2.5" style="1287" customWidth="1"/>
    <col min="9986" max="9986" width="3.5" style="1287" customWidth="1"/>
    <col min="9987" max="9987" width="21.5" style="1287" customWidth="1"/>
    <col min="9988" max="9988" width="4" style="1287" customWidth="1"/>
    <col min="9989" max="9989" width="5.33203125" style="1287" customWidth="1"/>
    <col min="9990" max="9990" width="15.1640625" style="1287" customWidth="1"/>
    <col min="9991" max="9998" width="14.1640625" style="1287" customWidth="1"/>
    <col min="9999" max="10240" width="9" style="1287"/>
    <col min="10241" max="10241" width="2.5" style="1287" customWidth="1"/>
    <col min="10242" max="10242" width="3.5" style="1287" customWidth="1"/>
    <col min="10243" max="10243" width="21.5" style="1287" customWidth="1"/>
    <col min="10244" max="10244" width="4" style="1287" customWidth="1"/>
    <col min="10245" max="10245" width="5.33203125" style="1287" customWidth="1"/>
    <col min="10246" max="10246" width="15.1640625" style="1287" customWidth="1"/>
    <col min="10247" max="10254" width="14.1640625" style="1287" customWidth="1"/>
    <col min="10255" max="10496" width="9" style="1287"/>
    <col min="10497" max="10497" width="2.5" style="1287" customWidth="1"/>
    <col min="10498" max="10498" width="3.5" style="1287" customWidth="1"/>
    <col min="10499" max="10499" width="21.5" style="1287" customWidth="1"/>
    <col min="10500" max="10500" width="4" style="1287" customWidth="1"/>
    <col min="10501" max="10501" width="5.33203125" style="1287" customWidth="1"/>
    <col min="10502" max="10502" width="15.1640625" style="1287" customWidth="1"/>
    <col min="10503" max="10510" width="14.1640625" style="1287" customWidth="1"/>
    <col min="10511" max="10752" width="9" style="1287"/>
    <col min="10753" max="10753" width="2.5" style="1287" customWidth="1"/>
    <col min="10754" max="10754" width="3.5" style="1287" customWidth="1"/>
    <col min="10755" max="10755" width="21.5" style="1287" customWidth="1"/>
    <col min="10756" max="10756" width="4" style="1287" customWidth="1"/>
    <col min="10757" max="10757" width="5.33203125" style="1287" customWidth="1"/>
    <col min="10758" max="10758" width="15.1640625" style="1287" customWidth="1"/>
    <col min="10759" max="10766" width="14.1640625" style="1287" customWidth="1"/>
    <col min="10767" max="11008" width="9" style="1287"/>
    <col min="11009" max="11009" width="2.5" style="1287" customWidth="1"/>
    <col min="11010" max="11010" width="3.5" style="1287" customWidth="1"/>
    <col min="11011" max="11011" width="21.5" style="1287" customWidth="1"/>
    <col min="11012" max="11012" width="4" style="1287" customWidth="1"/>
    <col min="11013" max="11013" width="5.33203125" style="1287" customWidth="1"/>
    <col min="11014" max="11014" width="15.1640625" style="1287" customWidth="1"/>
    <col min="11015" max="11022" width="14.1640625" style="1287" customWidth="1"/>
    <col min="11023" max="11264" width="9" style="1287"/>
    <col min="11265" max="11265" width="2.5" style="1287" customWidth="1"/>
    <col min="11266" max="11266" width="3.5" style="1287" customWidth="1"/>
    <col min="11267" max="11267" width="21.5" style="1287" customWidth="1"/>
    <col min="11268" max="11268" width="4" style="1287" customWidth="1"/>
    <col min="11269" max="11269" width="5.33203125" style="1287" customWidth="1"/>
    <col min="11270" max="11270" width="15.1640625" style="1287" customWidth="1"/>
    <col min="11271" max="11278" width="14.1640625" style="1287" customWidth="1"/>
    <col min="11279" max="11520" width="9" style="1287"/>
    <col min="11521" max="11521" width="2.5" style="1287" customWidth="1"/>
    <col min="11522" max="11522" width="3.5" style="1287" customWidth="1"/>
    <col min="11523" max="11523" width="21.5" style="1287" customWidth="1"/>
    <col min="11524" max="11524" width="4" style="1287" customWidth="1"/>
    <col min="11525" max="11525" width="5.33203125" style="1287" customWidth="1"/>
    <col min="11526" max="11526" width="15.1640625" style="1287" customWidth="1"/>
    <col min="11527" max="11534" width="14.1640625" style="1287" customWidth="1"/>
    <col min="11535" max="11776" width="9" style="1287"/>
    <col min="11777" max="11777" width="2.5" style="1287" customWidth="1"/>
    <col min="11778" max="11778" width="3.5" style="1287" customWidth="1"/>
    <col min="11779" max="11779" width="21.5" style="1287" customWidth="1"/>
    <col min="11780" max="11780" width="4" style="1287" customWidth="1"/>
    <col min="11781" max="11781" width="5.33203125" style="1287" customWidth="1"/>
    <col min="11782" max="11782" width="15.1640625" style="1287" customWidth="1"/>
    <col min="11783" max="11790" width="14.1640625" style="1287" customWidth="1"/>
    <col min="11791" max="12032" width="9" style="1287"/>
    <col min="12033" max="12033" width="2.5" style="1287" customWidth="1"/>
    <col min="12034" max="12034" width="3.5" style="1287" customWidth="1"/>
    <col min="12035" max="12035" width="21.5" style="1287" customWidth="1"/>
    <col min="12036" max="12036" width="4" style="1287" customWidth="1"/>
    <col min="12037" max="12037" width="5.33203125" style="1287" customWidth="1"/>
    <col min="12038" max="12038" width="15.1640625" style="1287" customWidth="1"/>
    <col min="12039" max="12046" width="14.1640625" style="1287" customWidth="1"/>
    <col min="12047" max="12288" width="9" style="1287"/>
    <col min="12289" max="12289" width="2.5" style="1287" customWidth="1"/>
    <col min="12290" max="12290" width="3.5" style="1287" customWidth="1"/>
    <col min="12291" max="12291" width="21.5" style="1287" customWidth="1"/>
    <col min="12292" max="12292" width="4" style="1287" customWidth="1"/>
    <col min="12293" max="12293" width="5.33203125" style="1287" customWidth="1"/>
    <col min="12294" max="12294" width="15.1640625" style="1287" customWidth="1"/>
    <col min="12295" max="12302" width="14.1640625" style="1287" customWidth="1"/>
    <col min="12303" max="12544" width="9" style="1287"/>
    <col min="12545" max="12545" width="2.5" style="1287" customWidth="1"/>
    <col min="12546" max="12546" width="3.5" style="1287" customWidth="1"/>
    <col min="12547" max="12547" width="21.5" style="1287" customWidth="1"/>
    <col min="12548" max="12548" width="4" style="1287" customWidth="1"/>
    <col min="12549" max="12549" width="5.33203125" style="1287" customWidth="1"/>
    <col min="12550" max="12550" width="15.1640625" style="1287" customWidth="1"/>
    <col min="12551" max="12558" width="14.1640625" style="1287" customWidth="1"/>
    <col min="12559" max="12800" width="9" style="1287"/>
    <col min="12801" max="12801" width="2.5" style="1287" customWidth="1"/>
    <col min="12802" max="12802" width="3.5" style="1287" customWidth="1"/>
    <col min="12803" max="12803" width="21.5" style="1287" customWidth="1"/>
    <col min="12804" max="12804" width="4" style="1287" customWidth="1"/>
    <col min="12805" max="12805" width="5.33203125" style="1287" customWidth="1"/>
    <col min="12806" max="12806" width="15.1640625" style="1287" customWidth="1"/>
    <col min="12807" max="12814" width="14.1640625" style="1287" customWidth="1"/>
    <col min="12815" max="13056" width="9" style="1287"/>
    <col min="13057" max="13057" width="2.5" style="1287" customWidth="1"/>
    <col min="13058" max="13058" width="3.5" style="1287" customWidth="1"/>
    <col min="13059" max="13059" width="21.5" style="1287" customWidth="1"/>
    <col min="13060" max="13060" width="4" style="1287" customWidth="1"/>
    <col min="13061" max="13061" width="5.33203125" style="1287" customWidth="1"/>
    <col min="13062" max="13062" width="15.1640625" style="1287" customWidth="1"/>
    <col min="13063" max="13070" width="14.1640625" style="1287" customWidth="1"/>
    <col min="13071" max="13312" width="9" style="1287"/>
    <col min="13313" max="13313" width="2.5" style="1287" customWidth="1"/>
    <col min="13314" max="13314" width="3.5" style="1287" customWidth="1"/>
    <col min="13315" max="13315" width="21.5" style="1287" customWidth="1"/>
    <col min="13316" max="13316" width="4" style="1287" customWidth="1"/>
    <col min="13317" max="13317" width="5.33203125" style="1287" customWidth="1"/>
    <col min="13318" max="13318" width="15.1640625" style="1287" customWidth="1"/>
    <col min="13319" max="13326" width="14.1640625" style="1287" customWidth="1"/>
    <col min="13327" max="13568" width="9" style="1287"/>
    <col min="13569" max="13569" width="2.5" style="1287" customWidth="1"/>
    <col min="13570" max="13570" width="3.5" style="1287" customWidth="1"/>
    <col min="13571" max="13571" width="21.5" style="1287" customWidth="1"/>
    <col min="13572" max="13572" width="4" style="1287" customWidth="1"/>
    <col min="13573" max="13573" width="5.33203125" style="1287" customWidth="1"/>
    <col min="13574" max="13574" width="15.1640625" style="1287" customWidth="1"/>
    <col min="13575" max="13582" width="14.1640625" style="1287" customWidth="1"/>
    <col min="13583" max="13824" width="9" style="1287"/>
    <col min="13825" max="13825" width="2.5" style="1287" customWidth="1"/>
    <col min="13826" max="13826" width="3.5" style="1287" customWidth="1"/>
    <col min="13827" max="13827" width="21.5" style="1287" customWidth="1"/>
    <col min="13828" max="13828" width="4" style="1287" customWidth="1"/>
    <col min="13829" max="13829" width="5.33203125" style="1287" customWidth="1"/>
    <col min="13830" max="13830" width="15.1640625" style="1287" customWidth="1"/>
    <col min="13831" max="13838" width="14.1640625" style="1287" customWidth="1"/>
    <col min="13839" max="14080" width="9" style="1287"/>
    <col min="14081" max="14081" width="2.5" style="1287" customWidth="1"/>
    <col min="14082" max="14082" width="3.5" style="1287" customWidth="1"/>
    <col min="14083" max="14083" width="21.5" style="1287" customWidth="1"/>
    <col min="14084" max="14084" width="4" style="1287" customWidth="1"/>
    <col min="14085" max="14085" width="5.33203125" style="1287" customWidth="1"/>
    <col min="14086" max="14086" width="15.1640625" style="1287" customWidth="1"/>
    <col min="14087" max="14094" width="14.1640625" style="1287" customWidth="1"/>
    <col min="14095" max="14336" width="9" style="1287"/>
    <col min="14337" max="14337" width="2.5" style="1287" customWidth="1"/>
    <col min="14338" max="14338" width="3.5" style="1287" customWidth="1"/>
    <col min="14339" max="14339" width="21.5" style="1287" customWidth="1"/>
    <col min="14340" max="14340" width="4" style="1287" customWidth="1"/>
    <col min="14341" max="14341" width="5.33203125" style="1287" customWidth="1"/>
    <col min="14342" max="14342" width="15.1640625" style="1287" customWidth="1"/>
    <col min="14343" max="14350" width="14.1640625" style="1287" customWidth="1"/>
    <col min="14351" max="14592" width="9" style="1287"/>
    <col min="14593" max="14593" width="2.5" style="1287" customWidth="1"/>
    <col min="14594" max="14594" width="3.5" style="1287" customWidth="1"/>
    <col min="14595" max="14595" width="21.5" style="1287" customWidth="1"/>
    <col min="14596" max="14596" width="4" style="1287" customWidth="1"/>
    <col min="14597" max="14597" width="5.33203125" style="1287" customWidth="1"/>
    <col min="14598" max="14598" width="15.1640625" style="1287" customWidth="1"/>
    <col min="14599" max="14606" width="14.1640625" style="1287" customWidth="1"/>
    <col min="14607" max="14848" width="9" style="1287"/>
    <col min="14849" max="14849" width="2.5" style="1287" customWidth="1"/>
    <col min="14850" max="14850" width="3.5" style="1287" customWidth="1"/>
    <col min="14851" max="14851" width="21.5" style="1287" customWidth="1"/>
    <col min="14852" max="14852" width="4" style="1287" customWidth="1"/>
    <col min="14853" max="14853" width="5.33203125" style="1287" customWidth="1"/>
    <col min="14854" max="14854" width="15.1640625" style="1287" customWidth="1"/>
    <col min="14855" max="14862" width="14.1640625" style="1287" customWidth="1"/>
    <col min="14863" max="15104" width="9" style="1287"/>
    <col min="15105" max="15105" width="2.5" style="1287" customWidth="1"/>
    <col min="15106" max="15106" width="3.5" style="1287" customWidth="1"/>
    <col min="15107" max="15107" width="21.5" style="1287" customWidth="1"/>
    <col min="15108" max="15108" width="4" style="1287" customWidth="1"/>
    <col min="15109" max="15109" width="5.33203125" style="1287" customWidth="1"/>
    <col min="15110" max="15110" width="15.1640625" style="1287" customWidth="1"/>
    <col min="15111" max="15118" width="14.1640625" style="1287" customWidth="1"/>
    <col min="15119" max="15360" width="9" style="1287"/>
    <col min="15361" max="15361" width="2.5" style="1287" customWidth="1"/>
    <col min="15362" max="15362" width="3.5" style="1287" customWidth="1"/>
    <col min="15363" max="15363" width="21.5" style="1287" customWidth="1"/>
    <col min="15364" max="15364" width="4" style="1287" customWidth="1"/>
    <col min="15365" max="15365" width="5.33203125" style="1287" customWidth="1"/>
    <col min="15366" max="15366" width="15.1640625" style="1287" customWidth="1"/>
    <col min="15367" max="15374" width="14.1640625" style="1287" customWidth="1"/>
    <col min="15375" max="15616" width="9" style="1287"/>
    <col min="15617" max="15617" width="2.5" style="1287" customWidth="1"/>
    <col min="15618" max="15618" width="3.5" style="1287" customWidth="1"/>
    <col min="15619" max="15619" width="21.5" style="1287" customWidth="1"/>
    <col min="15620" max="15620" width="4" style="1287" customWidth="1"/>
    <col min="15621" max="15621" width="5.33203125" style="1287" customWidth="1"/>
    <col min="15622" max="15622" width="15.1640625" style="1287" customWidth="1"/>
    <col min="15623" max="15630" width="14.1640625" style="1287" customWidth="1"/>
    <col min="15631" max="15872" width="9" style="1287"/>
    <col min="15873" max="15873" width="2.5" style="1287" customWidth="1"/>
    <col min="15874" max="15874" width="3.5" style="1287" customWidth="1"/>
    <col min="15875" max="15875" width="21.5" style="1287" customWidth="1"/>
    <col min="15876" max="15876" width="4" style="1287" customWidth="1"/>
    <col min="15877" max="15877" width="5.33203125" style="1287" customWidth="1"/>
    <col min="15878" max="15878" width="15.1640625" style="1287" customWidth="1"/>
    <col min="15879" max="15886" width="14.1640625" style="1287" customWidth="1"/>
    <col min="15887" max="16128" width="9" style="1287"/>
    <col min="16129" max="16129" width="2.5" style="1287" customWidth="1"/>
    <col min="16130" max="16130" width="3.5" style="1287" customWidth="1"/>
    <col min="16131" max="16131" width="21.5" style="1287" customWidth="1"/>
    <col min="16132" max="16132" width="4" style="1287" customWidth="1"/>
    <col min="16133" max="16133" width="5.33203125" style="1287" customWidth="1"/>
    <col min="16134" max="16134" width="15.1640625" style="1287" customWidth="1"/>
    <col min="16135" max="16142" width="14.1640625" style="1287" customWidth="1"/>
    <col min="16143" max="16384" width="9" style="1287"/>
  </cols>
  <sheetData>
    <row r="1" spans="1:14" s="846" customFormat="1" ht="14">
      <c r="A1" s="840"/>
      <c r="B1" s="840"/>
      <c r="C1" s="841"/>
      <c r="D1" s="841"/>
      <c r="E1" s="842" t="s">
        <v>2513</v>
      </c>
      <c r="F1" s="2578" t="s">
        <v>2970</v>
      </c>
      <c r="G1" s="2578"/>
      <c r="H1" s="2578"/>
      <c r="I1" s="2578"/>
      <c r="J1" s="2578"/>
      <c r="K1" s="2578"/>
      <c r="L1" s="843"/>
      <c r="M1" s="844">
        <v>20180319</v>
      </c>
      <c r="N1" s="845" t="s">
        <v>2514</v>
      </c>
    </row>
    <row r="2" spans="1:14" s="846" customFormat="1" ht="13.5" customHeight="1">
      <c r="A2" s="840"/>
      <c r="B2" s="840"/>
      <c r="C2" s="2579" t="s">
        <v>2515</v>
      </c>
      <c r="D2" s="2579"/>
      <c r="E2" s="2579"/>
      <c r="F2" s="840" t="s">
        <v>2516</v>
      </c>
      <c r="G2" s="847">
        <v>0.74370000000000003</v>
      </c>
      <c r="H2" s="848"/>
      <c r="K2" s="848"/>
      <c r="L2" s="848"/>
      <c r="M2" s="840"/>
      <c r="N2" s="848" t="s">
        <v>246</v>
      </c>
    </row>
    <row r="3" spans="1:14" s="846" customFormat="1" ht="14">
      <c r="A3" s="849"/>
      <c r="B3" s="850"/>
      <c r="C3" s="851"/>
      <c r="D3" s="852"/>
      <c r="E3" s="853"/>
      <c r="F3" s="854" t="s">
        <v>2517</v>
      </c>
      <c r="G3" s="855" t="str">
        <f>G86</f>
        <v>工事1</v>
      </c>
      <c r="H3" s="855" t="str">
        <f t="shared" ref="H3:N3" si="0">H86</f>
        <v>工事2</v>
      </c>
      <c r="I3" s="855" t="str">
        <f t="shared" si="0"/>
        <v>工事3</v>
      </c>
      <c r="J3" s="855" t="str">
        <f t="shared" si="0"/>
        <v>工事4</v>
      </c>
      <c r="K3" s="855" t="str">
        <f t="shared" si="0"/>
        <v>工事5</v>
      </c>
      <c r="L3" s="855">
        <f t="shared" si="0"/>
        <v>0</v>
      </c>
      <c r="M3" s="855">
        <f t="shared" si="0"/>
        <v>0</v>
      </c>
      <c r="N3" s="855">
        <f t="shared" si="0"/>
        <v>0</v>
      </c>
    </row>
    <row r="4" spans="1:14" s="846" customFormat="1" ht="13.5" customHeight="1">
      <c r="A4" s="849"/>
      <c r="B4" s="2580" t="s">
        <v>2518</v>
      </c>
      <c r="C4" s="2580"/>
      <c r="D4" s="2580"/>
      <c r="E4" s="853"/>
      <c r="F4" s="856">
        <f>SUM(G4:N4)</f>
        <v>3045088</v>
      </c>
      <c r="G4" s="857">
        <f>G80</f>
        <v>3045088</v>
      </c>
      <c r="H4" s="858">
        <f t="shared" ref="H4:N5" si="1">H80</f>
        <v>0</v>
      </c>
      <c r="I4" s="858">
        <f t="shared" si="1"/>
        <v>0</v>
      </c>
      <c r="J4" s="858">
        <f t="shared" si="1"/>
        <v>0</v>
      </c>
      <c r="K4" s="858">
        <f t="shared" si="1"/>
        <v>0</v>
      </c>
      <c r="L4" s="858">
        <f t="shared" si="1"/>
        <v>0</v>
      </c>
      <c r="M4" s="856">
        <f t="shared" si="1"/>
        <v>0</v>
      </c>
      <c r="N4" s="859">
        <f t="shared" si="1"/>
        <v>0</v>
      </c>
    </row>
    <row r="5" spans="1:14" s="846" customFormat="1" ht="13.5" customHeight="1">
      <c r="A5" s="860"/>
      <c r="B5" s="2581" t="s">
        <v>2519</v>
      </c>
      <c r="C5" s="2581"/>
      <c r="D5" s="2581"/>
      <c r="E5" s="861"/>
      <c r="F5" s="862">
        <f>SUM(G5:N5)</f>
        <v>647912</v>
      </c>
      <c r="G5" s="863">
        <f>G81</f>
        <v>647912</v>
      </c>
      <c r="H5" s="864">
        <f t="shared" si="1"/>
        <v>0</v>
      </c>
      <c r="I5" s="864">
        <f t="shared" si="1"/>
        <v>0</v>
      </c>
      <c r="J5" s="864">
        <f t="shared" si="1"/>
        <v>0</v>
      </c>
      <c r="K5" s="864">
        <f t="shared" si="1"/>
        <v>0</v>
      </c>
      <c r="L5" s="864">
        <f t="shared" si="1"/>
        <v>0</v>
      </c>
      <c r="M5" s="862">
        <f t="shared" si="1"/>
        <v>0</v>
      </c>
      <c r="N5" s="865">
        <f t="shared" si="1"/>
        <v>0</v>
      </c>
    </row>
    <row r="6" spans="1:14" s="846" customFormat="1" ht="13.5" customHeight="1">
      <c r="A6" s="866"/>
      <c r="B6" s="2582" t="s">
        <v>234</v>
      </c>
      <c r="C6" s="2582"/>
      <c r="D6" s="2582"/>
      <c r="E6" s="867"/>
      <c r="F6" s="868">
        <f>SUM(G6:N6)</f>
        <v>3693000</v>
      </c>
      <c r="G6" s="869">
        <f t="shared" ref="G6:N6" si="2">G79</f>
        <v>3693000</v>
      </c>
      <c r="H6" s="870">
        <f t="shared" si="2"/>
        <v>0</v>
      </c>
      <c r="I6" s="870">
        <f t="shared" si="2"/>
        <v>0</v>
      </c>
      <c r="J6" s="870">
        <f t="shared" si="2"/>
        <v>0</v>
      </c>
      <c r="K6" s="870">
        <f t="shared" si="2"/>
        <v>0</v>
      </c>
      <c r="L6" s="870">
        <f t="shared" si="2"/>
        <v>0</v>
      </c>
      <c r="M6" s="868">
        <f t="shared" si="2"/>
        <v>0</v>
      </c>
      <c r="N6" s="871">
        <f t="shared" si="2"/>
        <v>0</v>
      </c>
    </row>
    <row r="7" spans="1:14" s="846" customFormat="1" ht="14">
      <c r="A7" s="860"/>
      <c r="B7" s="840"/>
      <c r="C7" s="872"/>
      <c r="D7" s="873"/>
      <c r="E7" s="874"/>
      <c r="F7" s="841"/>
      <c r="G7" s="875" t="s">
        <v>2520</v>
      </c>
      <c r="H7" s="876"/>
      <c r="I7" s="876"/>
      <c r="J7" s="876"/>
      <c r="K7" s="848"/>
      <c r="L7" s="848"/>
      <c r="M7" s="848"/>
      <c r="N7" s="848" t="s">
        <v>2521</v>
      </c>
    </row>
    <row r="8" spans="1:14" s="885" customFormat="1" ht="13.5" customHeight="1">
      <c r="A8" s="877"/>
      <c r="B8" s="878"/>
      <c r="C8" s="879" t="s">
        <v>2522</v>
      </c>
      <c r="D8" s="880"/>
      <c r="E8" s="881"/>
      <c r="F8" s="882" t="s">
        <v>2523</v>
      </c>
      <c r="G8" s="883">
        <f>G84</f>
        <v>16.600000000000001</v>
      </c>
      <c r="H8" s="883">
        <f t="shared" ref="H8:N8" si="3">H84</f>
        <v>11</v>
      </c>
      <c r="I8" s="883">
        <f t="shared" si="3"/>
        <v>16.600000000000001</v>
      </c>
      <c r="J8" s="883">
        <f t="shared" si="3"/>
        <v>16.600000000000001</v>
      </c>
      <c r="K8" s="883">
        <f t="shared" si="3"/>
        <v>16.600000000000001</v>
      </c>
      <c r="L8" s="883">
        <f t="shared" si="3"/>
        <v>0</v>
      </c>
      <c r="M8" s="883">
        <f t="shared" si="3"/>
        <v>0</v>
      </c>
      <c r="N8" s="884">
        <f t="shared" si="3"/>
        <v>0</v>
      </c>
    </row>
    <row r="9" spans="1:14" s="885" customFormat="1" ht="13.5" customHeight="1">
      <c r="A9" s="1294"/>
      <c r="B9" s="1295"/>
      <c r="C9" s="888" t="s">
        <v>2524</v>
      </c>
      <c r="D9" s="889"/>
      <c r="E9" s="890"/>
      <c r="F9" s="891" t="s">
        <v>2523</v>
      </c>
      <c r="G9" s="892" t="str">
        <f>IF(G85="","",G85)</f>
        <v>改修</v>
      </c>
      <c r="H9" s="892" t="str">
        <f t="shared" ref="H9:N9" si="4">IF(H85="","",H85)</f>
        <v>改修</v>
      </c>
      <c r="I9" s="892" t="str">
        <f t="shared" si="4"/>
        <v>改修</v>
      </c>
      <c r="J9" s="892" t="str">
        <f t="shared" si="4"/>
        <v>改修</v>
      </c>
      <c r="K9" s="892" t="str">
        <f t="shared" si="4"/>
        <v>改修</v>
      </c>
      <c r="L9" s="892" t="str">
        <f t="shared" si="4"/>
        <v/>
      </c>
      <c r="M9" s="892" t="str">
        <f t="shared" si="4"/>
        <v/>
      </c>
      <c r="N9" s="893" t="str">
        <f t="shared" si="4"/>
        <v/>
      </c>
    </row>
    <row r="10" spans="1:14" s="896" customFormat="1" ht="13.5" customHeight="1">
      <c r="A10" s="2583" t="s">
        <v>2525</v>
      </c>
      <c r="B10" s="2584"/>
      <c r="C10" s="2584"/>
      <c r="D10" s="2584"/>
      <c r="E10" s="2584"/>
      <c r="F10" s="2585"/>
      <c r="G10" s="894" t="str">
        <f>G88</f>
        <v>積上げ・率処理併用</v>
      </c>
      <c r="H10" s="894" t="str">
        <f t="shared" ref="H10:N12" si="5">H88</f>
        <v>積上げ・率処理併用</v>
      </c>
      <c r="I10" s="894" t="str">
        <f t="shared" si="5"/>
        <v>積上げ・率処理併用</v>
      </c>
      <c r="J10" s="894" t="str">
        <f t="shared" si="5"/>
        <v>積上げ・率処理併用</v>
      </c>
      <c r="K10" s="894" t="str">
        <f t="shared" si="5"/>
        <v>積上げ・率処理併用</v>
      </c>
      <c r="L10" s="894" t="str">
        <f t="shared" si="5"/>
        <v>積上げ・率処理併用</v>
      </c>
      <c r="M10" s="894" t="str">
        <f t="shared" si="5"/>
        <v>積上げ・率処理併用</v>
      </c>
      <c r="N10" s="895" t="str">
        <f t="shared" si="5"/>
        <v>積上げ・率処理併用</v>
      </c>
    </row>
    <row r="11" spans="1:14" s="896" customFormat="1" ht="30" customHeight="1">
      <c r="A11" s="2596" t="s">
        <v>2526</v>
      </c>
      <c r="B11" s="2597"/>
      <c r="C11" s="2597"/>
      <c r="D11" s="2597"/>
      <c r="E11" s="2597"/>
      <c r="F11" s="2598"/>
      <c r="G11" s="897" t="str">
        <f>G89</f>
        <v>駅施設</v>
      </c>
      <c r="H11" s="897" t="str">
        <f t="shared" si="5"/>
        <v>駅施設</v>
      </c>
      <c r="I11" s="897" t="str">
        <f t="shared" si="5"/>
        <v>駅施設</v>
      </c>
      <c r="J11" s="897" t="str">
        <f t="shared" si="5"/>
        <v>駅施設</v>
      </c>
      <c r="K11" s="897" t="str">
        <f t="shared" si="5"/>
        <v>駅施設</v>
      </c>
      <c r="L11" s="897" t="str">
        <f t="shared" si="5"/>
        <v>駅施設</v>
      </c>
      <c r="M11" s="897" t="str">
        <f t="shared" si="5"/>
        <v>駅施設</v>
      </c>
      <c r="N11" s="898" t="str">
        <f t="shared" si="5"/>
        <v>駅施設</v>
      </c>
    </row>
    <row r="12" spans="1:14" s="896" customFormat="1" ht="30" customHeight="1">
      <c r="A12" s="2599" t="s">
        <v>2527</v>
      </c>
      <c r="B12" s="2600"/>
      <c r="C12" s="2600"/>
      <c r="D12" s="2600"/>
      <c r="E12" s="2600"/>
      <c r="F12" s="2601"/>
      <c r="G12" s="899" t="str">
        <f>G90</f>
        <v>無し</v>
      </c>
      <c r="H12" s="899" t="str">
        <f t="shared" si="5"/>
        <v>無し</v>
      </c>
      <c r="I12" s="899" t="str">
        <f t="shared" si="5"/>
        <v>無し</v>
      </c>
      <c r="J12" s="899" t="str">
        <f t="shared" si="5"/>
        <v>無し</v>
      </c>
      <c r="K12" s="899" t="str">
        <f t="shared" si="5"/>
        <v>無し</v>
      </c>
      <c r="L12" s="899" t="str">
        <f t="shared" si="5"/>
        <v>無し</v>
      </c>
      <c r="M12" s="899" t="str">
        <f t="shared" si="5"/>
        <v>無し</v>
      </c>
      <c r="N12" s="900" t="str">
        <f t="shared" si="5"/>
        <v>無し</v>
      </c>
    </row>
    <row r="13" spans="1:14" s="896" customFormat="1" ht="13.5" customHeight="1">
      <c r="A13" s="877"/>
      <c r="B13" s="901" t="s">
        <v>2528</v>
      </c>
      <c r="C13" s="902"/>
      <c r="D13" s="902"/>
      <c r="E13" s="903"/>
      <c r="F13" s="904">
        <f>SUM(G13:N13)</f>
        <v>4094511</v>
      </c>
      <c r="G13" s="905">
        <f>+G14+G15</f>
        <v>4094511</v>
      </c>
      <c r="H13" s="905">
        <f t="shared" ref="H13:N13" si="6">+H14+H15</f>
        <v>0</v>
      </c>
      <c r="I13" s="905">
        <f t="shared" si="6"/>
        <v>0</v>
      </c>
      <c r="J13" s="905">
        <f t="shared" si="6"/>
        <v>0</v>
      </c>
      <c r="K13" s="905">
        <f t="shared" si="6"/>
        <v>0</v>
      </c>
      <c r="L13" s="905">
        <f t="shared" si="6"/>
        <v>0</v>
      </c>
      <c r="M13" s="905">
        <f t="shared" si="6"/>
        <v>0</v>
      </c>
      <c r="N13" s="906">
        <f t="shared" si="6"/>
        <v>0</v>
      </c>
    </row>
    <row r="14" spans="1:14" s="896" customFormat="1" ht="13.5" customHeight="1">
      <c r="A14" s="1294"/>
      <c r="B14" s="1295"/>
      <c r="C14" s="694" t="s">
        <v>2529</v>
      </c>
      <c r="D14" s="695"/>
      <c r="E14" s="881"/>
      <c r="F14" s="907">
        <f>SUM(G14:N14)</f>
        <v>3984000</v>
      </c>
      <c r="G14" s="908">
        <f>+工事1!I16</f>
        <v>3984000</v>
      </c>
      <c r="H14" s="908"/>
      <c r="I14" s="908"/>
      <c r="J14" s="908"/>
      <c r="K14" s="908"/>
      <c r="L14" s="908"/>
      <c r="M14" s="908"/>
      <c r="N14" s="909"/>
    </row>
    <row r="15" spans="1:14" s="896" customFormat="1" ht="14">
      <c r="A15" s="1294"/>
      <c r="B15" s="1295"/>
      <c r="C15" s="701" t="s">
        <v>2530</v>
      </c>
      <c r="D15" s="701"/>
      <c r="E15" s="910"/>
      <c r="F15" s="911">
        <f>SUM(G15:N15)</f>
        <v>110511</v>
      </c>
      <c r="G15" s="912">
        <f>G21+G22</f>
        <v>110511</v>
      </c>
      <c r="H15" s="912">
        <f t="shared" ref="H15:N15" si="7">H21+H22</f>
        <v>0</v>
      </c>
      <c r="I15" s="912">
        <f t="shared" si="7"/>
        <v>0</v>
      </c>
      <c r="J15" s="912">
        <f t="shared" si="7"/>
        <v>0</v>
      </c>
      <c r="K15" s="912">
        <f t="shared" si="7"/>
        <v>0</v>
      </c>
      <c r="L15" s="912">
        <f t="shared" si="7"/>
        <v>0</v>
      </c>
      <c r="M15" s="912">
        <f t="shared" si="7"/>
        <v>0</v>
      </c>
      <c r="N15" s="913">
        <f t="shared" si="7"/>
        <v>0</v>
      </c>
    </row>
    <row r="16" spans="1:14" s="896" customFormat="1" ht="13.5" customHeight="1">
      <c r="A16" s="1294"/>
      <c r="B16" s="1295"/>
      <c r="C16" s="914" t="s">
        <v>2531</v>
      </c>
      <c r="D16" s="701"/>
      <c r="E16" s="910"/>
      <c r="F16" s="911">
        <f>SUM(G16:N16)</f>
        <v>110511</v>
      </c>
      <c r="G16" s="912">
        <f>G390-G174</f>
        <v>126104</v>
      </c>
      <c r="H16" s="912">
        <f t="shared" ref="H16:N16" si="8">H390-H174</f>
        <v>-4309</v>
      </c>
      <c r="I16" s="912">
        <f t="shared" si="8"/>
        <v>-171</v>
      </c>
      <c r="J16" s="912">
        <f t="shared" si="8"/>
        <v>-10174</v>
      </c>
      <c r="K16" s="912">
        <f t="shared" si="8"/>
        <v>-939</v>
      </c>
      <c r="L16" s="912">
        <f t="shared" si="8"/>
        <v>0</v>
      </c>
      <c r="M16" s="912">
        <f t="shared" si="8"/>
        <v>0</v>
      </c>
      <c r="N16" s="913">
        <f t="shared" si="8"/>
        <v>0</v>
      </c>
    </row>
    <row r="17" spans="1:39" s="896" customFormat="1" ht="13.5" customHeight="1">
      <c r="A17" s="1294"/>
      <c r="B17" s="1295"/>
      <c r="C17" s="914" t="s">
        <v>2532</v>
      </c>
      <c r="D17" s="701"/>
      <c r="E17" s="910"/>
      <c r="F17" s="911">
        <f>SUM(G17:AM17)</f>
        <v>-15593</v>
      </c>
      <c r="G17" s="912">
        <f>IF(AND(G14=0,G8=G84,G12="無し"),G16,0)</f>
        <v>0</v>
      </c>
      <c r="H17" s="912">
        <f t="shared" ref="H17:N17" si="9">IF(AND(H14=0,H8=H84,H12="無し"),H16,0)</f>
        <v>-4309</v>
      </c>
      <c r="I17" s="912">
        <f t="shared" si="9"/>
        <v>-171</v>
      </c>
      <c r="J17" s="912">
        <f t="shared" si="9"/>
        <v>-10174</v>
      </c>
      <c r="K17" s="912">
        <f t="shared" si="9"/>
        <v>-939</v>
      </c>
      <c r="L17" s="912">
        <f t="shared" si="9"/>
        <v>0</v>
      </c>
      <c r="M17" s="912">
        <f t="shared" si="9"/>
        <v>0</v>
      </c>
      <c r="N17" s="913">
        <f t="shared" si="9"/>
        <v>0</v>
      </c>
      <c r="O17" s="915"/>
      <c r="P17" s="915"/>
      <c r="Q17" s="915"/>
      <c r="R17" s="915"/>
      <c r="S17" s="915"/>
      <c r="T17" s="915"/>
      <c r="U17" s="915"/>
      <c r="V17" s="915"/>
      <c r="W17" s="915"/>
      <c r="X17" s="915"/>
      <c r="Y17" s="915"/>
      <c r="Z17" s="915"/>
      <c r="AA17" s="915"/>
      <c r="AB17" s="915"/>
      <c r="AC17" s="915"/>
      <c r="AD17" s="915"/>
      <c r="AE17" s="915"/>
      <c r="AF17" s="915"/>
      <c r="AG17" s="915"/>
      <c r="AH17" s="915"/>
      <c r="AI17" s="915"/>
      <c r="AJ17" s="915"/>
      <c r="AK17" s="915"/>
      <c r="AL17" s="915"/>
      <c r="AM17" s="915"/>
    </row>
    <row r="18" spans="1:39" s="896" customFormat="1" ht="13.5" customHeight="1">
      <c r="A18" s="1294"/>
      <c r="B18" s="1295"/>
      <c r="C18" s="914" t="s">
        <v>2533</v>
      </c>
      <c r="D18" s="701"/>
      <c r="E18" s="910"/>
      <c r="F18" s="911">
        <f>SUM(G18:AM18)</f>
        <v>3984000</v>
      </c>
      <c r="G18" s="912">
        <f>G14-G43</f>
        <v>3984000</v>
      </c>
      <c r="H18" s="912">
        <f t="shared" ref="H18:N18" si="10">H14-H43</f>
        <v>0</v>
      </c>
      <c r="I18" s="912">
        <f t="shared" si="10"/>
        <v>0</v>
      </c>
      <c r="J18" s="912">
        <f t="shared" si="10"/>
        <v>0</v>
      </c>
      <c r="K18" s="912">
        <f t="shared" si="10"/>
        <v>0</v>
      </c>
      <c r="L18" s="912">
        <f t="shared" si="10"/>
        <v>0</v>
      </c>
      <c r="M18" s="912">
        <f t="shared" si="10"/>
        <v>0</v>
      </c>
      <c r="N18" s="913">
        <f t="shared" si="10"/>
        <v>0</v>
      </c>
      <c r="O18" s="915"/>
      <c r="P18" s="915"/>
      <c r="Q18" s="915"/>
      <c r="R18" s="915"/>
      <c r="S18" s="915"/>
      <c r="T18" s="915"/>
      <c r="U18" s="915"/>
      <c r="V18" s="915"/>
      <c r="W18" s="915"/>
      <c r="X18" s="915"/>
      <c r="Y18" s="915"/>
      <c r="Z18" s="915"/>
      <c r="AA18" s="915"/>
      <c r="AB18" s="915"/>
      <c r="AC18" s="915"/>
      <c r="AD18" s="915"/>
      <c r="AE18" s="915"/>
      <c r="AF18" s="915"/>
      <c r="AG18" s="915"/>
      <c r="AH18" s="915"/>
      <c r="AI18" s="915"/>
      <c r="AJ18" s="915"/>
      <c r="AK18" s="915"/>
      <c r="AL18" s="915"/>
      <c r="AM18" s="915"/>
    </row>
    <row r="19" spans="1:39" s="896" customFormat="1" ht="13.5" customHeight="1">
      <c r="A19" s="1294"/>
      <c r="B19" s="1295"/>
      <c r="C19" s="914" t="s">
        <v>2534</v>
      </c>
      <c r="D19" s="701"/>
      <c r="E19" s="910"/>
      <c r="F19" s="911">
        <f>SUM(G19:AM19)</f>
        <v>-15593</v>
      </c>
      <c r="G19" s="912">
        <f>IF($F$17=0,0,(IF(G17=0,INT(G18/$F18*$F17),0)))</f>
        <v>-15593</v>
      </c>
      <c r="H19" s="912">
        <f t="shared" ref="H19:N19" si="11">IF($F$17=0,0,(IF(H17=0,INT(H18/$F18*$F17),0)))</f>
        <v>0</v>
      </c>
      <c r="I19" s="912">
        <f t="shared" si="11"/>
        <v>0</v>
      </c>
      <c r="J19" s="912">
        <f t="shared" si="11"/>
        <v>0</v>
      </c>
      <c r="K19" s="912">
        <f t="shared" si="11"/>
        <v>0</v>
      </c>
      <c r="L19" s="912">
        <f t="shared" si="11"/>
        <v>0</v>
      </c>
      <c r="M19" s="912">
        <f t="shared" si="11"/>
        <v>0</v>
      </c>
      <c r="N19" s="913">
        <f t="shared" si="11"/>
        <v>0</v>
      </c>
      <c r="O19" s="915"/>
      <c r="P19" s="915"/>
      <c r="Q19" s="915"/>
      <c r="R19" s="915"/>
      <c r="S19" s="915"/>
      <c r="T19" s="915"/>
      <c r="U19" s="915"/>
      <c r="V19" s="915"/>
      <c r="W19" s="915"/>
      <c r="X19" s="915"/>
      <c r="Y19" s="915"/>
      <c r="Z19" s="915"/>
      <c r="AA19" s="915"/>
      <c r="AB19" s="915"/>
      <c r="AC19" s="915"/>
      <c r="AD19" s="915"/>
      <c r="AE19" s="915"/>
      <c r="AF19" s="915"/>
      <c r="AG19" s="915"/>
      <c r="AH19" s="915"/>
      <c r="AI19" s="915"/>
      <c r="AJ19" s="915"/>
      <c r="AK19" s="915"/>
      <c r="AL19" s="915"/>
      <c r="AM19" s="915"/>
    </row>
    <row r="20" spans="1:39" s="896" customFormat="1" ht="13.5" customHeight="1">
      <c r="A20" s="1294"/>
      <c r="B20" s="1295"/>
      <c r="C20" s="916" t="s">
        <v>2535</v>
      </c>
      <c r="D20" s="701"/>
      <c r="E20" s="910"/>
      <c r="F20" s="911">
        <f>F17-F19</f>
        <v>0</v>
      </c>
      <c r="G20" s="917">
        <f>IF($F20=0,0,IF(G19=0,0,$F20))</f>
        <v>0</v>
      </c>
      <c r="H20" s="917">
        <f t="shared" ref="H20:N20" si="12">IF($F20=0,0,IF(H19=0,0,$F20))</f>
        <v>0</v>
      </c>
      <c r="I20" s="917">
        <f t="shared" si="12"/>
        <v>0</v>
      </c>
      <c r="J20" s="917">
        <f t="shared" si="12"/>
        <v>0</v>
      </c>
      <c r="K20" s="917">
        <f t="shared" si="12"/>
        <v>0</v>
      </c>
      <c r="L20" s="917">
        <f t="shared" si="12"/>
        <v>0</v>
      </c>
      <c r="M20" s="917">
        <f t="shared" si="12"/>
        <v>0</v>
      </c>
      <c r="N20" s="918">
        <f t="shared" si="12"/>
        <v>0</v>
      </c>
      <c r="O20" s="919"/>
      <c r="P20" s="919"/>
      <c r="Q20" s="919"/>
      <c r="R20" s="919"/>
      <c r="S20" s="919"/>
      <c r="T20" s="919"/>
      <c r="U20" s="919"/>
      <c r="V20" s="919"/>
      <c r="W20" s="919"/>
      <c r="X20" s="919"/>
      <c r="Y20" s="919"/>
      <c r="Z20" s="919"/>
      <c r="AA20" s="919"/>
      <c r="AB20" s="919"/>
      <c r="AC20" s="919"/>
      <c r="AD20" s="919"/>
      <c r="AE20" s="919"/>
      <c r="AF20" s="919"/>
      <c r="AG20" s="919"/>
      <c r="AH20" s="919"/>
      <c r="AI20" s="919"/>
      <c r="AJ20" s="919"/>
      <c r="AK20" s="919"/>
      <c r="AL20" s="919"/>
      <c r="AM20" s="919"/>
    </row>
    <row r="21" spans="1:39" s="896" customFormat="1" ht="13.5" customHeight="1">
      <c r="A21" s="1294"/>
      <c r="B21" s="1295"/>
      <c r="C21" s="914" t="s">
        <v>2536</v>
      </c>
      <c r="D21" s="701"/>
      <c r="E21" s="910"/>
      <c r="F21" s="911">
        <f>SUM(G21:AM21)</f>
        <v>110511</v>
      </c>
      <c r="G21" s="917">
        <f>IF(G43="",IF(AND(G14=0,G8=G84,G12="無し"),0,G16+G19+G20))</f>
        <v>110511</v>
      </c>
      <c r="H21" s="917">
        <f t="shared" ref="H21:N21" si="13">IF(H43="",IF(H14=0,IF(H8=H84,0,H16+H19+H20),H16+H19+H20),0)</f>
        <v>0</v>
      </c>
      <c r="I21" s="917">
        <f t="shared" si="13"/>
        <v>0</v>
      </c>
      <c r="J21" s="917">
        <f t="shared" si="13"/>
        <v>0</v>
      </c>
      <c r="K21" s="917">
        <f t="shared" si="13"/>
        <v>0</v>
      </c>
      <c r="L21" s="917">
        <f t="shared" si="13"/>
        <v>0</v>
      </c>
      <c r="M21" s="917">
        <f t="shared" si="13"/>
        <v>0</v>
      </c>
      <c r="N21" s="918">
        <f t="shared" si="13"/>
        <v>0</v>
      </c>
      <c r="O21" s="919"/>
      <c r="P21" s="919"/>
      <c r="Q21" s="919"/>
      <c r="R21" s="919"/>
      <c r="S21" s="919"/>
      <c r="T21" s="919"/>
      <c r="U21" s="919"/>
      <c r="V21" s="919"/>
      <c r="W21" s="919"/>
      <c r="X21" s="919"/>
      <c r="Y21" s="919"/>
      <c r="Z21" s="919"/>
      <c r="AA21" s="919"/>
      <c r="AB21" s="919"/>
      <c r="AC21" s="919"/>
      <c r="AD21" s="919"/>
      <c r="AE21" s="919"/>
      <c r="AF21" s="919"/>
      <c r="AG21" s="919"/>
      <c r="AH21" s="919"/>
      <c r="AI21" s="919"/>
      <c r="AJ21" s="919"/>
      <c r="AK21" s="919"/>
      <c r="AL21" s="919"/>
      <c r="AM21" s="919"/>
    </row>
    <row r="22" spans="1:39" s="896" customFormat="1" ht="14">
      <c r="A22" s="1294"/>
      <c r="B22" s="1295"/>
      <c r="C22" s="914" t="s">
        <v>2537</v>
      </c>
      <c r="D22" s="701"/>
      <c r="E22" s="910"/>
      <c r="F22" s="911">
        <f>SUM(G22:N22)</f>
        <v>0</v>
      </c>
      <c r="G22" s="920">
        <f>+工事1!I45</f>
        <v>0</v>
      </c>
      <c r="H22" s="920"/>
      <c r="I22" s="920"/>
      <c r="J22" s="920"/>
      <c r="K22" s="920"/>
      <c r="L22" s="920"/>
      <c r="M22" s="920"/>
      <c r="N22" s="921"/>
    </row>
    <row r="23" spans="1:39" s="896" customFormat="1" ht="13.5" customHeight="1">
      <c r="A23" s="1294"/>
      <c r="B23" s="1295"/>
      <c r="C23" s="922" t="s">
        <v>2538</v>
      </c>
      <c r="D23" s="701"/>
      <c r="E23" s="910"/>
      <c r="F23" s="911">
        <f>SUM(G23:N23)</f>
        <v>0</v>
      </c>
      <c r="G23" s="920"/>
      <c r="H23" s="920"/>
      <c r="I23" s="920"/>
      <c r="J23" s="920"/>
      <c r="K23" s="920"/>
      <c r="L23" s="920"/>
      <c r="M23" s="920"/>
      <c r="N23" s="921"/>
    </row>
    <row r="24" spans="1:39" s="896" customFormat="1" ht="14">
      <c r="A24" s="1294"/>
      <c r="B24" s="1295"/>
      <c r="C24" s="923" t="s">
        <v>2539</v>
      </c>
      <c r="D24" s="924"/>
      <c r="E24" s="925"/>
      <c r="F24" s="926">
        <f>SUM(G24:N24)</f>
        <v>0</v>
      </c>
      <c r="G24" s="927"/>
      <c r="H24" s="927"/>
      <c r="I24" s="927"/>
      <c r="J24" s="927"/>
      <c r="K24" s="927"/>
      <c r="L24" s="927"/>
      <c r="M24" s="927"/>
      <c r="N24" s="928"/>
    </row>
    <row r="25" spans="1:39" s="896" customFormat="1" ht="13.5" customHeight="1">
      <c r="A25" s="929" t="s">
        <v>2540</v>
      </c>
      <c r="B25" s="930"/>
      <c r="C25" s="931"/>
      <c r="D25" s="931"/>
      <c r="E25" s="932"/>
      <c r="F25" s="933"/>
      <c r="G25" s="934"/>
      <c r="H25" s="934"/>
      <c r="I25" s="934"/>
      <c r="J25" s="934"/>
      <c r="K25" s="934"/>
      <c r="L25" s="934"/>
      <c r="M25" s="934"/>
      <c r="N25" s="935"/>
    </row>
    <row r="26" spans="1:39" s="896" customFormat="1" ht="14">
      <c r="A26" s="2602"/>
      <c r="B26" s="2604" t="s">
        <v>2541</v>
      </c>
      <c r="C26" s="695" t="s">
        <v>2542</v>
      </c>
      <c r="D26" s="695"/>
      <c r="E26" s="882"/>
      <c r="F26" s="907">
        <f t="shared" ref="F26:F32" si="14">SUM(G26:N26)</f>
        <v>0</v>
      </c>
      <c r="G26" s="908"/>
      <c r="H26" s="908"/>
      <c r="I26" s="908">
        <f t="shared" ref="I26:N26" si="15">IF(I9="新営",I14-SUM(I28:I39)-I43-I42,0)</f>
        <v>0</v>
      </c>
      <c r="J26" s="908">
        <f t="shared" si="15"/>
        <v>0</v>
      </c>
      <c r="K26" s="908">
        <f t="shared" si="15"/>
        <v>0</v>
      </c>
      <c r="L26" s="908">
        <f t="shared" si="15"/>
        <v>0</v>
      </c>
      <c r="M26" s="908">
        <f t="shared" si="15"/>
        <v>0</v>
      </c>
      <c r="N26" s="909">
        <f t="shared" si="15"/>
        <v>0</v>
      </c>
    </row>
    <row r="27" spans="1:39" s="896" customFormat="1" ht="14">
      <c r="A27" s="2602"/>
      <c r="B27" s="2605"/>
      <c r="C27" s="702" t="s">
        <v>2543</v>
      </c>
      <c r="D27" s="702"/>
      <c r="E27" s="910"/>
      <c r="F27" s="911">
        <f t="shared" si="14"/>
        <v>3984000</v>
      </c>
      <c r="G27" s="912">
        <f>IF(G9="改修",G14-SUM(G28:G39)-G43-G42,0)</f>
        <v>3984000</v>
      </c>
      <c r="H27" s="912">
        <f t="shared" ref="H27:N27" si="16">IF(H9="改修",H14-SUM(H28:H39)-H43-H42,0)</f>
        <v>0</v>
      </c>
      <c r="I27" s="912">
        <f t="shared" si="16"/>
        <v>0</v>
      </c>
      <c r="J27" s="912">
        <f t="shared" si="16"/>
        <v>0</v>
      </c>
      <c r="K27" s="912">
        <f t="shared" si="16"/>
        <v>0</v>
      </c>
      <c r="L27" s="912">
        <f t="shared" si="16"/>
        <v>0</v>
      </c>
      <c r="M27" s="912">
        <f t="shared" si="16"/>
        <v>0</v>
      </c>
      <c r="N27" s="913">
        <f t="shared" si="16"/>
        <v>0</v>
      </c>
    </row>
    <row r="28" spans="1:39" s="896" customFormat="1" ht="14">
      <c r="A28" s="2602"/>
      <c r="B28" s="2605"/>
      <c r="C28" s="936" t="s">
        <v>2544</v>
      </c>
      <c r="D28" s="702"/>
      <c r="E28" s="910"/>
      <c r="F28" s="911">
        <f t="shared" si="14"/>
        <v>0</v>
      </c>
      <c r="G28" s="920"/>
      <c r="H28" s="920"/>
      <c r="I28" s="920"/>
      <c r="J28" s="920"/>
      <c r="K28" s="920"/>
      <c r="L28" s="920"/>
      <c r="M28" s="920"/>
      <c r="N28" s="921"/>
    </row>
    <row r="29" spans="1:39" s="896" customFormat="1" ht="14">
      <c r="A29" s="2602"/>
      <c r="B29" s="2606"/>
      <c r="C29" s="936" t="s">
        <v>2545</v>
      </c>
      <c r="D29" s="702"/>
      <c r="E29" s="910"/>
      <c r="F29" s="911">
        <f t="shared" si="14"/>
        <v>0</v>
      </c>
      <c r="G29" s="920"/>
      <c r="H29" s="920"/>
      <c r="I29" s="920"/>
      <c r="J29" s="920"/>
      <c r="K29" s="920"/>
      <c r="L29" s="920"/>
      <c r="M29" s="920"/>
      <c r="N29" s="921"/>
    </row>
    <row r="30" spans="1:39" s="896" customFormat="1" ht="13.5" customHeight="1">
      <c r="A30" s="2602"/>
      <c r="B30" s="2607" t="s">
        <v>2546</v>
      </c>
      <c r="C30" s="701" t="s">
        <v>2547</v>
      </c>
      <c r="D30" s="702"/>
      <c r="E30" s="910"/>
      <c r="F30" s="911">
        <f t="shared" si="14"/>
        <v>0</v>
      </c>
      <c r="G30" s="920"/>
      <c r="H30" s="920"/>
      <c r="I30" s="920"/>
      <c r="J30" s="920"/>
      <c r="K30" s="920"/>
      <c r="L30" s="920"/>
      <c r="M30" s="920"/>
      <c r="N30" s="921"/>
    </row>
    <row r="31" spans="1:39" s="896" customFormat="1" ht="14">
      <c r="A31" s="2602"/>
      <c r="B31" s="2605"/>
      <c r="C31" s="701" t="s">
        <v>2548</v>
      </c>
      <c r="D31" s="702"/>
      <c r="E31" s="910"/>
      <c r="F31" s="911">
        <f t="shared" si="14"/>
        <v>0</v>
      </c>
      <c r="G31" s="920"/>
      <c r="H31" s="920"/>
      <c r="I31" s="920"/>
      <c r="J31" s="920"/>
      <c r="K31" s="920"/>
      <c r="L31" s="920"/>
      <c r="M31" s="920"/>
      <c r="N31" s="921"/>
    </row>
    <row r="32" spans="1:39" s="896" customFormat="1" ht="14">
      <c r="A32" s="2602"/>
      <c r="B32" s="2605"/>
      <c r="C32" s="702" t="s">
        <v>2549</v>
      </c>
      <c r="D32" s="702"/>
      <c r="E32" s="910"/>
      <c r="F32" s="911">
        <f t="shared" si="14"/>
        <v>0</v>
      </c>
      <c r="G32" s="920"/>
      <c r="H32" s="920"/>
      <c r="I32" s="920"/>
      <c r="J32" s="920"/>
      <c r="K32" s="920"/>
      <c r="L32" s="920"/>
      <c r="M32" s="920"/>
      <c r="N32" s="921"/>
    </row>
    <row r="33" spans="1:14" s="896" customFormat="1" ht="13.5" customHeight="1">
      <c r="A33" s="2602"/>
      <c r="B33" s="2605"/>
      <c r="C33" s="702" t="s">
        <v>2550</v>
      </c>
      <c r="D33" s="702"/>
      <c r="E33" s="910"/>
      <c r="F33" s="911"/>
      <c r="G33" s="912"/>
      <c r="H33" s="912"/>
      <c r="I33" s="912"/>
      <c r="J33" s="912"/>
      <c r="K33" s="912"/>
      <c r="L33" s="912"/>
      <c r="M33" s="912"/>
      <c r="N33" s="913"/>
    </row>
    <row r="34" spans="1:14" s="896" customFormat="1" ht="14">
      <c r="A34" s="2602"/>
      <c r="B34" s="2605"/>
      <c r="C34" s="702" t="s">
        <v>2551</v>
      </c>
      <c r="D34" s="702"/>
      <c r="E34" s="910"/>
      <c r="F34" s="911"/>
      <c r="G34" s="912"/>
      <c r="H34" s="912"/>
      <c r="I34" s="912"/>
      <c r="J34" s="912"/>
      <c r="K34" s="912"/>
      <c r="L34" s="912"/>
      <c r="M34" s="912"/>
      <c r="N34" s="913"/>
    </row>
    <row r="35" spans="1:14" s="896" customFormat="1" ht="14">
      <c r="A35" s="2602"/>
      <c r="B35" s="2605"/>
      <c r="C35" s="702" t="s">
        <v>2552</v>
      </c>
      <c r="D35" s="702"/>
      <c r="E35" s="910"/>
      <c r="F35" s="911">
        <f t="shared" ref="F35:F45" si="17">SUM(G35:N35)</f>
        <v>0</v>
      </c>
      <c r="G35" s="920"/>
      <c r="H35" s="920"/>
      <c r="I35" s="920"/>
      <c r="J35" s="920"/>
      <c r="K35" s="920"/>
      <c r="L35" s="920"/>
      <c r="M35" s="920"/>
      <c r="N35" s="921"/>
    </row>
    <row r="36" spans="1:14" s="896" customFormat="1" ht="14">
      <c r="A36" s="2602"/>
      <c r="B36" s="2605"/>
      <c r="C36" s="937" t="s">
        <v>2553</v>
      </c>
      <c r="D36" s="702"/>
      <c r="E36" s="910"/>
      <c r="F36" s="911">
        <f t="shared" si="17"/>
        <v>0</v>
      </c>
      <c r="G36" s="920"/>
      <c r="H36" s="920"/>
      <c r="I36" s="920"/>
      <c r="J36" s="920"/>
      <c r="K36" s="920"/>
      <c r="L36" s="920"/>
      <c r="M36" s="920"/>
      <c r="N36" s="921"/>
    </row>
    <row r="37" spans="1:14" s="896" customFormat="1" ht="14">
      <c r="A37" s="2602"/>
      <c r="B37" s="2605"/>
      <c r="C37" s="938" t="s">
        <v>2554</v>
      </c>
      <c r="D37" s="702"/>
      <c r="E37" s="910"/>
      <c r="F37" s="911">
        <f t="shared" si="17"/>
        <v>0</v>
      </c>
      <c r="G37" s="920"/>
      <c r="H37" s="920"/>
      <c r="I37" s="920"/>
      <c r="J37" s="920"/>
      <c r="K37" s="920"/>
      <c r="L37" s="920"/>
      <c r="M37" s="920"/>
      <c r="N37" s="921"/>
    </row>
    <row r="38" spans="1:14" s="896" customFormat="1" ht="14">
      <c r="A38" s="2602"/>
      <c r="B38" s="2606"/>
      <c r="C38" s="702" t="s">
        <v>2555</v>
      </c>
      <c r="D38" s="702"/>
      <c r="E38" s="910"/>
      <c r="F38" s="911">
        <f t="shared" si="17"/>
        <v>0</v>
      </c>
      <c r="G38" s="920"/>
      <c r="H38" s="920"/>
      <c r="I38" s="920"/>
      <c r="J38" s="920"/>
      <c r="K38" s="920"/>
      <c r="L38" s="920"/>
      <c r="M38" s="920"/>
      <c r="N38" s="921"/>
    </row>
    <row r="39" spans="1:14" s="896" customFormat="1" ht="14">
      <c r="A39" s="2602"/>
      <c r="B39" s="2607" t="s">
        <v>2556</v>
      </c>
      <c r="C39" s="936" t="s">
        <v>2557</v>
      </c>
      <c r="D39" s="702"/>
      <c r="E39" s="910"/>
      <c r="F39" s="911">
        <f t="shared" si="17"/>
        <v>0</v>
      </c>
      <c r="G39" s="920"/>
      <c r="H39" s="920"/>
      <c r="I39" s="920"/>
      <c r="J39" s="920"/>
      <c r="K39" s="920"/>
      <c r="L39" s="920"/>
      <c r="M39" s="920"/>
      <c r="N39" s="921"/>
    </row>
    <row r="40" spans="1:14" s="896" customFormat="1" ht="14">
      <c r="A40" s="2602"/>
      <c r="B40" s="2605"/>
      <c r="C40" s="936" t="s">
        <v>2558</v>
      </c>
      <c r="D40" s="702"/>
      <c r="E40" s="910"/>
      <c r="F40" s="911">
        <f t="shared" si="17"/>
        <v>0</v>
      </c>
      <c r="G40" s="912">
        <f t="shared" ref="G40:N40" si="18">+G24</f>
        <v>0</v>
      </c>
      <c r="H40" s="912">
        <f t="shared" si="18"/>
        <v>0</v>
      </c>
      <c r="I40" s="912">
        <f t="shared" si="18"/>
        <v>0</v>
      </c>
      <c r="J40" s="912">
        <f t="shared" si="18"/>
        <v>0</v>
      </c>
      <c r="K40" s="912">
        <f t="shared" si="18"/>
        <v>0</v>
      </c>
      <c r="L40" s="912">
        <f t="shared" si="18"/>
        <v>0</v>
      </c>
      <c r="M40" s="912">
        <f t="shared" si="18"/>
        <v>0</v>
      </c>
      <c r="N40" s="913">
        <f t="shared" si="18"/>
        <v>0</v>
      </c>
    </row>
    <row r="41" spans="1:14" s="896" customFormat="1" ht="14">
      <c r="A41" s="2602"/>
      <c r="B41" s="2605"/>
      <c r="C41" s="702" t="s">
        <v>2559</v>
      </c>
      <c r="D41" s="702"/>
      <c r="E41" s="910"/>
      <c r="F41" s="911">
        <f t="shared" si="17"/>
        <v>0</v>
      </c>
      <c r="G41" s="912">
        <f t="shared" ref="G41:N41" si="19">+G23</f>
        <v>0</v>
      </c>
      <c r="H41" s="912">
        <f t="shared" si="19"/>
        <v>0</v>
      </c>
      <c r="I41" s="912">
        <f t="shared" si="19"/>
        <v>0</v>
      </c>
      <c r="J41" s="912">
        <f t="shared" si="19"/>
        <v>0</v>
      </c>
      <c r="K41" s="912">
        <f t="shared" si="19"/>
        <v>0</v>
      </c>
      <c r="L41" s="912">
        <f t="shared" si="19"/>
        <v>0</v>
      </c>
      <c r="M41" s="912">
        <f t="shared" si="19"/>
        <v>0</v>
      </c>
      <c r="N41" s="913">
        <f t="shared" si="19"/>
        <v>0</v>
      </c>
    </row>
    <row r="42" spans="1:14" s="896" customFormat="1" ht="14">
      <c r="A42" s="2602"/>
      <c r="B42" s="2605"/>
      <c r="C42" s="702" t="s">
        <v>2560</v>
      </c>
      <c r="D42" s="702"/>
      <c r="E42" s="910"/>
      <c r="F42" s="911">
        <f t="shared" si="17"/>
        <v>0</v>
      </c>
      <c r="G42" s="920"/>
      <c r="H42" s="920"/>
      <c r="I42" s="920"/>
      <c r="J42" s="920"/>
      <c r="K42" s="920"/>
      <c r="L42" s="920"/>
      <c r="M42" s="920"/>
      <c r="N42" s="921"/>
    </row>
    <row r="43" spans="1:14" s="896" customFormat="1" ht="13.5" customHeight="1">
      <c r="A43" s="2602"/>
      <c r="B43" s="2605"/>
      <c r="C43" s="939" t="s">
        <v>2561</v>
      </c>
      <c r="D43" s="940"/>
      <c r="E43" s="941"/>
      <c r="F43" s="911">
        <f t="shared" si="17"/>
        <v>0</v>
      </c>
      <c r="G43" s="942"/>
      <c r="H43" s="942"/>
      <c r="I43" s="942"/>
      <c r="J43" s="942"/>
      <c r="K43" s="942"/>
      <c r="L43" s="942"/>
      <c r="M43" s="942"/>
      <c r="N43" s="943"/>
    </row>
    <row r="44" spans="1:14" s="896" customFormat="1" ht="14">
      <c r="A44" s="2602"/>
      <c r="B44" s="2605"/>
      <c r="C44" s="939" t="s">
        <v>2562</v>
      </c>
      <c r="D44" s="940"/>
      <c r="E44" s="941"/>
      <c r="F44" s="911">
        <f t="shared" si="17"/>
        <v>0</v>
      </c>
      <c r="G44" s="942"/>
      <c r="H44" s="942"/>
      <c r="I44" s="942"/>
      <c r="J44" s="942"/>
      <c r="K44" s="942"/>
      <c r="L44" s="942"/>
      <c r="M44" s="942"/>
      <c r="N44" s="943"/>
    </row>
    <row r="45" spans="1:14" s="896" customFormat="1" ht="14">
      <c r="A45" s="2603"/>
      <c r="B45" s="2608"/>
      <c r="C45" s="944" t="s">
        <v>2563</v>
      </c>
      <c r="D45" s="944"/>
      <c r="E45" s="945"/>
      <c r="F45" s="946">
        <f t="shared" si="17"/>
        <v>0</v>
      </c>
      <c r="G45" s="947"/>
      <c r="H45" s="947"/>
      <c r="I45" s="947"/>
      <c r="J45" s="947"/>
      <c r="K45" s="947"/>
      <c r="L45" s="947"/>
      <c r="M45" s="947"/>
      <c r="N45" s="948"/>
    </row>
    <row r="46" spans="1:14" s="846" customFormat="1" ht="13.5" customHeight="1">
      <c r="A46" s="2586" t="s">
        <v>2564</v>
      </c>
      <c r="B46" s="2587"/>
      <c r="C46" s="2588"/>
      <c r="D46" s="949"/>
      <c r="E46" s="950"/>
      <c r="F46" s="951"/>
      <c r="G46" s="952"/>
      <c r="H46" s="952"/>
      <c r="I46" s="952"/>
      <c r="J46" s="952"/>
      <c r="K46" s="952"/>
      <c r="L46" s="952"/>
      <c r="M46" s="952"/>
      <c r="N46" s="953"/>
    </row>
    <row r="47" spans="1:14" s="959" customFormat="1" ht="14">
      <c r="A47" s="2589"/>
      <c r="B47" s="2590" t="s">
        <v>2541</v>
      </c>
      <c r="C47" s="954" t="s">
        <v>2542</v>
      </c>
      <c r="D47" s="955"/>
      <c r="E47" s="956"/>
      <c r="F47" s="957">
        <f>+F414-F198</f>
        <v>0</v>
      </c>
      <c r="G47" s="957">
        <f t="shared" ref="G47:N47" si="20">+G414-G198</f>
        <v>0</v>
      </c>
      <c r="H47" s="957">
        <f t="shared" si="20"/>
        <v>0</v>
      </c>
      <c r="I47" s="957">
        <f t="shared" si="20"/>
        <v>0</v>
      </c>
      <c r="J47" s="957">
        <f t="shared" si="20"/>
        <v>0</v>
      </c>
      <c r="K47" s="957">
        <f t="shared" si="20"/>
        <v>0</v>
      </c>
      <c r="L47" s="957">
        <f t="shared" si="20"/>
        <v>0</v>
      </c>
      <c r="M47" s="957">
        <f t="shared" si="20"/>
        <v>0</v>
      </c>
      <c r="N47" s="958">
        <f t="shared" si="20"/>
        <v>0</v>
      </c>
    </row>
    <row r="48" spans="1:14" s="959" customFormat="1" ht="14">
      <c r="A48" s="2589"/>
      <c r="B48" s="2591"/>
      <c r="C48" s="960" t="s">
        <v>2543</v>
      </c>
      <c r="D48" s="955"/>
      <c r="E48" s="956"/>
      <c r="F48" s="957">
        <f t="shared" ref="F48:N53" si="21">F416-F200</f>
        <v>363047</v>
      </c>
      <c r="G48" s="957">
        <f t="shared" si="21"/>
        <v>469767</v>
      </c>
      <c r="H48" s="957">
        <f t="shared" si="21"/>
        <v>-22744</v>
      </c>
      <c r="I48" s="957">
        <f t="shared" si="21"/>
        <v>-1273</v>
      </c>
      <c r="J48" s="957">
        <f t="shared" si="21"/>
        <v>-75728</v>
      </c>
      <c r="K48" s="957">
        <f t="shared" si="21"/>
        <v>-6975</v>
      </c>
      <c r="L48" s="957">
        <f t="shared" si="21"/>
        <v>0</v>
      </c>
      <c r="M48" s="957">
        <f t="shared" si="21"/>
        <v>0</v>
      </c>
      <c r="N48" s="958">
        <f t="shared" si="21"/>
        <v>0</v>
      </c>
    </row>
    <row r="49" spans="1:14" s="959" customFormat="1" ht="14">
      <c r="A49" s="2589"/>
      <c r="B49" s="2591"/>
      <c r="C49" s="960" t="s">
        <v>2565</v>
      </c>
      <c r="D49" s="955"/>
      <c r="E49" s="961"/>
      <c r="F49" s="957">
        <f t="shared" si="21"/>
        <v>0</v>
      </c>
      <c r="G49" s="957">
        <f t="shared" si="21"/>
        <v>0</v>
      </c>
      <c r="H49" s="957">
        <f t="shared" si="21"/>
        <v>0</v>
      </c>
      <c r="I49" s="957">
        <f t="shared" si="21"/>
        <v>0</v>
      </c>
      <c r="J49" s="957">
        <f t="shared" si="21"/>
        <v>0</v>
      </c>
      <c r="K49" s="957">
        <f t="shared" si="21"/>
        <v>0</v>
      </c>
      <c r="L49" s="957">
        <f t="shared" si="21"/>
        <v>0</v>
      </c>
      <c r="M49" s="957">
        <f t="shared" si="21"/>
        <v>0</v>
      </c>
      <c r="N49" s="958">
        <f t="shared" si="21"/>
        <v>0</v>
      </c>
    </row>
    <row r="50" spans="1:14" s="959" customFormat="1" ht="14">
      <c r="A50" s="2589"/>
      <c r="B50" s="2592"/>
      <c r="C50" s="960" t="s">
        <v>2566</v>
      </c>
      <c r="D50" s="955"/>
      <c r="E50" s="961"/>
      <c r="F50" s="957">
        <f t="shared" si="21"/>
        <v>0</v>
      </c>
      <c r="G50" s="957">
        <f t="shared" si="21"/>
        <v>0</v>
      </c>
      <c r="H50" s="957">
        <f t="shared" si="21"/>
        <v>0</v>
      </c>
      <c r="I50" s="957">
        <f t="shared" si="21"/>
        <v>0</v>
      </c>
      <c r="J50" s="957">
        <f t="shared" si="21"/>
        <v>0</v>
      </c>
      <c r="K50" s="957">
        <f t="shared" si="21"/>
        <v>0</v>
      </c>
      <c r="L50" s="957">
        <f t="shared" si="21"/>
        <v>0</v>
      </c>
      <c r="M50" s="957">
        <f t="shared" si="21"/>
        <v>0</v>
      </c>
      <c r="N50" s="958">
        <f t="shared" si="21"/>
        <v>0</v>
      </c>
    </row>
    <row r="51" spans="1:14" s="959" customFormat="1" ht="14">
      <c r="A51" s="2589"/>
      <c r="B51" s="2593" t="s">
        <v>2567</v>
      </c>
      <c r="C51" s="960" t="s">
        <v>2568</v>
      </c>
      <c r="D51" s="955">
        <v>1</v>
      </c>
      <c r="E51" s="961">
        <v>0.02</v>
      </c>
      <c r="F51" s="957">
        <f t="shared" si="21"/>
        <v>0</v>
      </c>
      <c r="G51" s="957">
        <f t="shared" si="21"/>
        <v>0</v>
      </c>
      <c r="H51" s="957">
        <f t="shared" si="21"/>
        <v>0</v>
      </c>
      <c r="I51" s="957">
        <f t="shared" si="21"/>
        <v>0</v>
      </c>
      <c r="J51" s="957">
        <f t="shared" si="21"/>
        <v>0</v>
      </c>
      <c r="K51" s="957">
        <f t="shared" si="21"/>
        <v>0</v>
      </c>
      <c r="L51" s="957">
        <f t="shared" si="21"/>
        <v>0</v>
      </c>
      <c r="M51" s="957">
        <f t="shared" si="21"/>
        <v>0</v>
      </c>
      <c r="N51" s="958">
        <f t="shared" si="21"/>
        <v>0</v>
      </c>
    </row>
    <row r="52" spans="1:14" s="959" customFormat="1" ht="14">
      <c r="A52" s="2589"/>
      <c r="B52" s="2591"/>
      <c r="C52" s="960" t="s">
        <v>2548</v>
      </c>
      <c r="D52" s="955">
        <v>1</v>
      </c>
      <c r="E52" s="961">
        <v>0.02</v>
      </c>
      <c r="F52" s="957">
        <f t="shared" si="21"/>
        <v>0</v>
      </c>
      <c r="G52" s="957">
        <f t="shared" si="21"/>
        <v>0</v>
      </c>
      <c r="H52" s="957">
        <f t="shared" si="21"/>
        <v>0</v>
      </c>
      <c r="I52" s="957">
        <f t="shared" si="21"/>
        <v>0</v>
      </c>
      <c r="J52" s="957">
        <f t="shared" si="21"/>
        <v>0</v>
      </c>
      <c r="K52" s="957">
        <f t="shared" si="21"/>
        <v>0</v>
      </c>
      <c r="L52" s="957">
        <f t="shared" si="21"/>
        <v>0</v>
      </c>
      <c r="M52" s="957">
        <f t="shared" si="21"/>
        <v>0</v>
      </c>
      <c r="N52" s="958">
        <f t="shared" si="21"/>
        <v>0</v>
      </c>
    </row>
    <row r="53" spans="1:14" s="959" customFormat="1" ht="14">
      <c r="A53" s="2589"/>
      <c r="B53" s="2591"/>
      <c r="C53" s="960" t="s">
        <v>2549</v>
      </c>
      <c r="D53" s="955">
        <v>1</v>
      </c>
      <c r="E53" s="961">
        <v>0.02</v>
      </c>
      <c r="F53" s="957">
        <f t="shared" si="21"/>
        <v>0</v>
      </c>
      <c r="G53" s="957">
        <f t="shared" si="21"/>
        <v>0</v>
      </c>
      <c r="H53" s="957">
        <f t="shared" si="21"/>
        <v>0</v>
      </c>
      <c r="I53" s="957">
        <f t="shared" si="21"/>
        <v>0</v>
      </c>
      <c r="J53" s="957">
        <f t="shared" si="21"/>
        <v>0</v>
      </c>
      <c r="K53" s="957">
        <f t="shared" si="21"/>
        <v>0</v>
      </c>
      <c r="L53" s="957">
        <f t="shared" si="21"/>
        <v>0</v>
      </c>
      <c r="M53" s="957">
        <f t="shared" si="21"/>
        <v>0</v>
      </c>
      <c r="N53" s="958">
        <f t="shared" si="21"/>
        <v>0</v>
      </c>
    </row>
    <row r="54" spans="1:14" s="959" customFormat="1" ht="14">
      <c r="A54" s="2589"/>
      <c r="B54" s="2591"/>
      <c r="C54" s="960" t="s">
        <v>2552</v>
      </c>
      <c r="D54" s="955">
        <v>1</v>
      </c>
      <c r="E54" s="961">
        <v>0.02</v>
      </c>
      <c r="F54" s="957">
        <f>F424-F208</f>
        <v>0</v>
      </c>
      <c r="G54" s="957">
        <f t="shared" ref="G54:N54" si="22">G424-G208</f>
        <v>0</v>
      </c>
      <c r="H54" s="957">
        <f t="shared" si="22"/>
        <v>0</v>
      </c>
      <c r="I54" s="957">
        <f t="shared" si="22"/>
        <v>0</v>
      </c>
      <c r="J54" s="957">
        <f t="shared" si="22"/>
        <v>0</v>
      </c>
      <c r="K54" s="957">
        <f t="shared" si="22"/>
        <v>0</v>
      </c>
      <c r="L54" s="957">
        <f t="shared" si="22"/>
        <v>0</v>
      </c>
      <c r="M54" s="957">
        <f t="shared" si="22"/>
        <v>0</v>
      </c>
      <c r="N54" s="958">
        <f t="shared" si="22"/>
        <v>0</v>
      </c>
    </row>
    <row r="55" spans="1:14" s="959" customFormat="1" ht="14">
      <c r="A55" s="2589"/>
      <c r="B55" s="2591"/>
      <c r="C55" s="962" t="s">
        <v>2569</v>
      </c>
      <c r="D55" s="955"/>
      <c r="E55" s="961"/>
      <c r="F55" s="957"/>
      <c r="G55" s="917"/>
      <c r="H55" s="917"/>
      <c r="I55" s="917"/>
      <c r="J55" s="917"/>
      <c r="K55" s="917"/>
      <c r="L55" s="917"/>
      <c r="M55" s="917"/>
      <c r="N55" s="918"/>
    </row>
    <row r="56" spans="1:14" s="959" customFormat="1" ht="14">
      <c r="A56" s="2589"/>
      <c r="B56" s="2591"/>
      <c r="C56" s="962" t="s">
        <v>2570</v>
      </c>
      <c r="D56" s="955"/>
      <c r="E56" s="961"/>
      <c r="F56" s="957"/>
      <c r="G56" s="917"/>
      <c r="H56" s="917"/>
      <c r="I56" s="917"/>
      <c r="J56" s="917"/>
      <c r="K56" s="917"/>
      <c r="L56" s="917"/>
      <c r="M56" s="917"/>
      <c r="N56" s="918"/>
    </row>
    <row r="57" spans="1:14" s="959" customFormat="1" ht="14">
      <c r="A57" s="2589"/>
      <c r="B57" s="2592"/>
      <c r="C57" s="960" t="s">
        <v>2555</v>
      </c>
      <c r="D57" s="955">
        <v>1</v>
      </c>
      <c r="E57" s="961">
        <v>0.02</v>
      </c>
      <c r="F57" s="957">
        <f>F427-F211</f>
        <v>0</v>
      </c>
      <c r="G57" s="957">
        <f t="shared" ref="G57:N57" si="23">G427-G211</f>
        <v>0</v>
      </c>
      <c r="H57" s="957">
        <f t="shared" si="23"/>
        <v>0</v>
      </c>
      <c r="I57" s="957">
        <f t="shared" si="23"/>
        <v>0</v>
      </c>
      <c r="J57" s="957">
        <f t="shared" si="23"/>
        <v>0</v>
      </c>
      <c r="K57" s="957">
        <f t="shared" si="23"/>
        <v>0</v>
      </c>
      <c r="L57" s="957">
        <f t="shared" si="23"/>
        <v>0</v>
      </c>
      <c r="M57" s="957">
        <f t="shared" si="23"/>
        <v>0</v>
      </c>
      <c r="N57" s="958">
        <f t="shared" si="23"/>
        <v>0</v>
      </c>
    </row>
    <row r="58" spans="1:14" s="959" customFormat="1" ht="14">
      <c r="A58" s="2589"/>
      <c r="B58" s="963" t="s">
        <v>2571</v>
      </c>
      <c r="C58" s="964" t="s">
        <v>2572</v>
      </c>
      <c r="D58" s="955">
        <v>1</v>
      </c>
      <c r="E58" s="961">
        <v>0</v>
      </c>
      <c r="F58" s="957">
        <f>F430-F214</f>
        <v>0</v>
      </c>
      <c r="G58" s="957">
        <f t="shared" ref="G58:N58" si="24">G430-G214</f>
        <v>0</v>
      </c>
      <c r="H58" s="957">
        <f t="shared" si="24"/>
        <v>0</v>
      </c>
      <c r="I58" s="957">
        <f t="shared" si="24"/>
        <v>0</v>
      </c>
      <c r="J58" s="957">
        <f t="shared" si="24"/>
        <v>0</v>
      </c>
      <c r="K58" s="957">
        <f t="shared" si="24"/>
        <v>0</v>
      </c>
      <c r="L58" s="957">
        <f t="shared" si="24"/>
        <v>0</v>
      </c>
      <c r="M58" s="957">
        <f t="shared" si="24"/>
        <v>0</v>
      </c>
      <c r="N58" s="958">
        <f t="shared" si="24"/>
        <v>0</v>
      </c>
    </row>
    <row r="59" spans="1:14" s="846" customFormat="1" ht="14">
      <c r="A59" s="2589"/>
      <c r="B59" s="965" t="s">
        <v>2573</v>
      </c>
      <c r="C59" s="966" t="s">
        <v>2574</v>
      </c>
      <c r="D59" s="955">
        <v>1</v>
      </c>
      <c r="E59" s="961"/>
      <c r="F59" s="957">
        <f>SUM(G59:N59)</f>
        <v>0</v>
      </c>
      <c r="G59" s="942"/>
      <c r="H59" s="942"/>
      <c r="I59" s="942"/>
      <c r="J59" s="942"/>
      <c r="K59" s="942"/>
      <c r="L59" s="942"/>
      <c r="M59" s="942"/>
      <c r="N59" s="943"/>
    </row>
    <row r="60" spans="1:14" s="846" customFormat="1" ht="14">
      <c r="A60" s="2589"/>
      <c r="B60" s="967" t="s">
        <v>2575</v>
      </c>
      <c r="C60" s="968" t="s">
        <v>2576</v>
      </c>
      <c r="D60" s="969">
        <v>1</v>
      </c>
      <c r="E60" s="970"/>
      <c r="F60" s="971"/>
      <c r="G60" s="972"/>
      <c r="H60" s="972"/>
      <c r="I60" s="972"/>
      <c r="J60" s="972"/>
      <c r="K60" s="972"/>
      <c r="L60" s="972"/>
      <c r="M60" s="972"/>
      <c r="N60" s="973"/>
    </row>
    <row r="61" spans="1:14" s="846" customFormat="1" ht="14">
      <c r="A61" s="974"/>
      <c r="B61" s="2594" t="s">
        <v>2577</v>
      </c>
      <c r="C61" s="2595"/>
      <c r="D61" s="975"/>
      <c r="E61" s="976"/>
      <c r="F61" s="977">
        <f>SUM(G61:N61)</f>
        <v>363047</v>
      </c>
      <c r="G61" s="978">
        <f>SUM(G47:G60)</f>
        <v>469767</v>
      </c>
      <c r="H61" s="978">
        <f t="shared" ref="H61:N61" si="25">SUM(H47:H60)</f>
        <v>-22744</v>
      </c>
      <c r="I61" s="978">
        <f t="shared" si="25"/>
        <v>-1273</v>
      </c>
      <c r="J61" s="978">
        <f t="shared" si="25"/>
        <v>-75728</v>
      </c>
      <c r="K61" s="978">
        <f t="shared" si="25"/>
        <v>-6975</v>
      </c>
      <c r="L61" s="978">
        <f t="shared" si="25"/>
        <v>0</v>
      </c>
      <c r="M61" s="978">
        <f t="shared" si="25"/>
        <v>0</v>
      </c>
      <c r="N61" s="979">
        <f t="shared" si="25"/>
        <v>0</v>
      </c>
    </row>
    <row r="62" spans="1:14" s="846" customFormat="1" ht="14" hidden="1">
      <c r="A62" s="974"/>
      <c r="B62" s="2594" t="s">
        <v>2578</v>
      </c>
      <c r="C62" s="2595"/>
      <c r="D62" s="975"/>
      <c r="E62" s="976"/>
      <c r="F62" s="977">
        <f>SUM(G62:N62)</f>
        <v>-106720</v>
      </c>
      <c r="G62" s="980">
        <f>IF(G59="",IF(G14+G22=0,IF(G8=G84,G61,0),0),0)</f>
        <v>0</v>
      </c>
      <c r="H62" s="980">
        <f t="shared" ref="H62:N62" si="26">IF(H59="",IF(H14+H22=0,IF(H8=H84,H61,0),0),0)</f>
        <v>-22744</v>
      </c>
      <c r="I62" s="980">
        <f t="shared" si="26"/>
        <v>-1273</v>
      </c>
      <c r="J62" s="980">
        <f t="shared" si="26"/>
        <v>-75728</v>
      </c>
      <c r="K62" s="980">
        <f t="shared" si="26"/>
        <v>-6975</v>
      </c>
      <c r="L62" s="980">
        <f t="shared" si="26"/>
        <v>0</v>
      </c>
      <c r="M62" s="980">
        <f t="shared" si="26"/>
        <v>0</v>
      </c>
      <c r="N62" s="980">
        <f t="shared" si="26"/>
        <v>0</v>
      </c>
    </row>
    <row r="63" spans="1:14" s="846" customFormat="1" ht="13.5" hidden="1" customHeight="1">
      <c r="A63" s="974"/>
      <c r="B63" s="2594" t="s">
        <v>2579</v>
      </c>
      <c r="C63" s="2595"/>
      <c r="D63" s="975"/>
      <c r="E63" s="976"/>
      <c r="F63" s="977">
        <f>SUM(G63:N63)</f>
        <v>4094511</v>
      </c>
      <c r="G63" s="981">
        <f t="shared" ref="G63:N63" si="27">G13-(G43+G44)</f>
        <v>4094511</v>
      </c>
      <c r="H63" s="981">
        <f t="shared" si="27"/>
        <v>0</v>
      </c>
      <c r="I63" s="981">
        <f t="shared" si="27"/>
        <v>0</v>
      </c>
      <c r="J63" s="981">
        <f t="shared" si="27"/>
        <v>0</v>
      </c>
      <c r="K63" s="981">
        <f t="shared" si="27"/>
        <v>0</v>
      </c>
      <c r="L63" s="981">
        <f t="shared" si="27"/>
        <v>0</v>
      </c>
      <c r="M63" s="981">
        <f t="shared" si="27"/>
        <v>0</v>
      </c>
      <c r="N63" s="981">
        <f t="shared" si="27"/>
        <v>0</v>
      </c>
    </row>
    <row r="64" spans="1:14" s="846" customFormat="1" ht="14" hidden="1">
      <c r="A64" s="974"/>
      <c r="B64" s="2594" t="s">
        <v>2580</v>
      </c>
      <c r="C64" s="2595"/>
      <c r="D64" s="975"/>
      <c r="E64" s="976"/>
      <c r="F64" s="977">
        <f>SUM(G64:N64)</f>
        <v>-106720</v>
      </c>
      <c r="G64" s="978">
        <f>IF($F$62=0,0,(IF(G62=0,INT(G63/$F63*$F62),0)))</f>
        <v>-106720</v>
      </c>
      <c r="H64" s="978">
        <f t="shared" ref="H64:N64" si="28">IF($F$62=0,0,(IF(H62=0,INT(H63/$F63*$F62),0)))</f>
        <v>0</v>
      </c>
      <c r="I64" s="978">
        <f t="shared" si="28"/>
        <v>0</v>
      </c>
      <c r="J64" s="978">
        <f t="shared" si="28"/>
        <v>0</v>
      </c>
      <c r="K64" s="978">
        <f t="shared" si="28"/>
        <v>0</v>
      </c>
      <c r="L64" s="978">
        <f t="shared" si="28"/>
        <v>0</v>
      </c>
      <c r="M64" s="978">
        <f t="shared" si="28"/>
        <v>0</v>
      </c>
      <c r="N64" s="978">
        <f t="shared" si="28"/>
        <v>0</v>
      </c>
    </row>
    <row r="65" spans="1:14" s="846" customFormat="1" ht="14" hidden="1">
      <c r="A65" s="974"/>
      <c r="B65" s="2594" t="s">
        <v>2581</v>
      </c>
      <c r="C65" s="2595"/>
      <c r="D65" s="975"/>
      <c r="E65" s="976"/>
      <c r="F65" s="977">
        <f>F62-F64</f>
        <v>0</v>
      </c>
      <c r="G65" s="978">
        <f>IF($F65=0,0,IF(G64=0,0,$F65))</f>
        <v>0</v>
      </c>
      <c r="H65" s="978">
        <f>IF($F65=0,0,IF(H64=0,0,IF(SUM($G65:G65)=0,$F65,0)))</f>
        <v>0</v>
      </c>
      <c r="I65" s="978">
        <f>IF($F65=0,0,IF(I64=0,0,IF(SUM($G65:H65)=0,$F65,0)))</f>
        <v>0</v>
      </c>
      <c r="J65" s="978">
        <f>IF($F65=0,0,IF(J64=0,0,IF(SUM($G65:I65)=0,$F65,0)))</f>
        <v>0</v>
      </c>
      <c r="K65" s="978">
        <f>IF($F65=0,0,IF(K64=0,0,IF(SUM($G65:J65)=0,$F65,0)))</f>
        <v>0</v>
      </c>
      <c r="L65" s="978">
        <f>IF($F65=0,0,IF(L64=0,0,IF(SUM($G65:K65)=0,$F65,0)))</f>
        <v>0</v>
      </c>
      <c r="M65" s="978">
        <f>IF($F65=0,0,IF(M64=0,0,IF(SUM($G65:L65)=0,$F65,0)))</f>
        <v>0</v>
      </c>
      <c r="N65" s="978">
        <f>IF($F65=0,0,IF(N64=0,0,IF(SUM($G65:M65)=0,$F65,0)))</f>
        <v>0</v>
      </c>
    </row>
    <row r="66" spans="1:14" s="846" customFormat="1" ht="13.5" customHeight="1">
      <c r="A66" s="974"/>
      <c r="B66" s="2612" t="s">
        <v>2582</v>
      </c>
      <c r="C66" s="2613"/>
      <c r="D66" s="982"/>
      <c r="E66" s="983"/>
      <c r="F66" s="977">
        <f>SUM(G66:N66)</f>
        <v>363047</v>
      </c>
      <c r="G66" s="984">
        <f>IF(G59="",IF(G14+G22=0,IF(G8=G84,0,G61+G64+G65),G61+G64+G65),G59)</f>
        <v>363047</v>
      </c>
      <c r="H66" s="984">
        <f t="shared" ref="H66:N66" si="29">IF(H59="",IF(H14+H22=0,IF(H8=H84,0,H61+H64+H65),H61+H64+H65),H59)</f>
        <v>0</v>
      </c>
      <c r="I66" s="984">
        <f t="shared" si="29"/>
        <v>0</v>
      </c>
      <c r="J66" s="984">
        <f t="shared" si="29"/>
        <v>0</v>
      </c>
      <c r="K66" s="984">
        <f t="shared" si="29"/>
        <v>0</v>
      </c>
      <c r="L66" s="984">
        <f t="shared" si="29"/>
        <v>0</v>
      </c>
      <c r="M66" s="984">
        <f t="shared" si="29"/>
        <v>0</v>
      </c>
      <c r="N66" s="984">
        <f t="shared" si="29"/>
        <v>0</v>
      </c>
    </row>
    <row r="67" spans="1:14" s="846" customFormat="1" ht="14">
      <c r="A67" s="985" t="s">
        <v>2583</v>
      </c>
      <c r="B67" s="986"/>
      <c r="C67" s="986"/>
      <c r="D67" s="987"/>
      <c r="E67" s="988" t="s">
        <v>2584</v>
      </c>
      <c r="F67" s="989">
        <f>SUM(G67:N67)</f>
        <v>4457558</v>
      </c>
      <c r="G67" s="990">
        <f t="shared" ref="G67:N67" si="30">G13-G45+G66</f>
        <v>4457558</v>
      </c>
      <c r="H67" s="990">
        <f t="shared" si="30"/>
        <v>0</v>
      </c>
      <c r="I67" s="990">
        <f t="shared" si="30"/>
        <v>0</v>
      </c>
      <c r="J67" s="990">
        <f t="shared" si="30"/>
        <v>0</v>
      </c>
      <c r="K67" s="990">
        <f t="shared" si="30"/>
        <v>0</v>
      </c>
      <c r="L67" s="990">
        <f t="shared" si="30"/>
        <v>0</v>
      </c>
      <c r="M67" s="990">
        <f t="shared" si="30"/>
        <v>0</v>
      </c>
      <c r="N67" s="990">
        <f t="shared" si="30"/>
        <v>0</v>
      </c>
    </row>
    <row r="68" spans="1:14" s="846" customFormat="1" ht="14">
      <c r="A68" s="991"/>
      <c r="B68" s="2614" t="s">
        <v>2585</v>
      </c>
      <c r="C68" s="2615"/>
      <c r="D68" s="992"/>
      <c r="E68" s="993"/>
      <c r="F68" s="994"/>
      <c r="G68" s="995"/>
      <c r="H68" s="995"/>
      <c r="I68" s="995"/>
      <c r="J68" s="995"/>
      <c r="K68" s="995"/>
      <c r="L68" s="995"/>
      <c r="M68" s="995"/>
      <c r="N68" s="996"/>
    </row>
    <row r="69" spans="1:14" s="846" customFormat="1" ht="13.5" customHeight="1">
      <c r="A69" s="991"/>
      <c r="B69" s="997" t="s">
        <v>2586</v>
      </c>
      <c r="C69" s="998"/>
      <c r="D69" s="999"/>
      <c r="E69" s="1000"/>
      <c r="F69" s="1001">
        <f>+F463-F248</f>
        <v>508660</v>
      </c>
      <c r="G69" s="1001">
        <f>+G463-G248</f>
        <v>574423</v>
      </c>
      <c r="H69" s="1001">
        <f t="shared" ref="H69:N69" si="31">+H463-H248</f>
        <v>-11211</v>
      </c>
      <c r="I69" s="1001">
        <f t="shared" si="31"/>
        <v>-925</v>
      </c>
      <c r="J69" s="1001">
        <f t="shared" si="31"/>
        <v>-49025</v>
      </c>
      <c r="K69" s="1001">
        <f t="shared" si="31"/>
        <v>-4602</v>
      </c>
      <c r="L69" s="1001">
        <f>+L463-L248</f>
        <v>0</v>
      </c>
      <c r="M69" s="1001">
        <f t="shared" si="31"/>
        <v>0</v>
      </c>
      <c r="N69" s="1002">
        <f t="shared" si="31"/>
        <v>0</v>
      </c>
    </row>
    <row r="70" spans="1:14" s="846" customFormat="1" ht="13.5" hidden="1" customHeight="1">
      <c r="A70" s="974"/>
      <c r="B70" s="2594" t="s">
        <v>2578</v>
      </c>
      <c r="C70" s="2595"/>
      <c r="D70" s="975"/>
      <c r="E70" s="976"/>
      <c r="F70" s="977">
        <f>SUM(G70:N70)</f>
        <v>-65763</v>
      </c>
      <c r="G70" s="1003">
        <f>IF(G67=0,G69,0)</f>
        <v>0</v>
      </c>
      <c r="H70" s="1003">
        <f t="shared" ref="H70:N70" si="32">IF(H67=0,H69,0)</f>
        <v>-11211</v>
      </c>
      <c r="I70" s="1003">
        <f t="shared" si="32"/>
        <v>-925</v>
      </c>
      <c r="J70" s="1003">
        <f t="shared" si="32"/>
        <v>-49025</v>
      </c>
      <c r="K70" s="1003">
        <f>IF(K67=0,K69,0)</f>
        <v>-4602</v>
      </c>
      <c r="L70" s="1003">
        <f t="shared" si="32"/>
        <v>0</v>
      </c>
      <c r="M70" s="1003">
        <f t="shared" si="32"/>
        <v>0</v>
      </c>
      <c r="N70" s="1003">
        <f t="shared" si="32"/>
        <v>0</v>
      </c>
    </row>
    <row r="71" spans="1:14" s="846" customFormat="1" ht="13.5" hidden="1" customHeight="1">
      <c r="A71" s="974"/>
      <c r="B71" s="2594" t="s">
        <v>2587</v>
      </c>
      <c r="C71" s="2595"/>
      <c r="D71" s="975"/>
      <c r="E71" s="976"/>
      <c r="F71" s="977">
        <f>SUM(G71:N71)</f>
        <v>4457558</v>
      </c>
      <c r="G71" s="1004">
        <f>IF(G68=0,G67,G67-(G43+G44+G59))</f>
        <v>4457558</v>
      </c>
      <c r="H71" s="1004">
        <f>IF(H68=0,H67,H67-(H43+H44+H59))</f>
        <v>0</v>
      </c>
      <c r="I71" s="1004">
        <f t="shared" ref="I71:N71" si="33">IF(I68=0,I67,I67-(I43+I44+I59))</f>
        <v>0</v>
      </c>
      <c r="J71" s="1004">
        <f t="shared" si="33"/>
        <v>0</v>
      </c>
      <c r="K71" s="1004">
        <f t="shared" si="33"/>
        <v>0</v>
      </c>
      <c r="L71" s="1004">
        <f t="shared" si="33"/>
        <v>0</v>
      </c>
      <c r="M71" s="1004">
        <f t="shared" si="33"/>
        <v>0</v>
      </c>
      <c r="N71" s="1004">
        <f t="shared" si="33"/>
        <v>0</v>
      </c>
    </row>
    <row r="72" spans="1:14" s="846" customFormat="1" ht="13.5" hidden="1" customHeight="1">
      <c r="A72" s="974"/>
      <c r="B72" s="2594" t="s">
        <v>2588</v>
      </c>
      <c r="C72" s="2595"/>
      <c r="D72" s="975"/>
      <c r="E72" s="976"/>
      <c r="F72" s="977">
        <f>SUM(G72:N72)</f>
        <v>-65763</v>
      </c>
      <c r="G72" s="978">
        <f>IF($F$71=0,0,(INT(G71/$F71*$F70)))</f>
        <v>-65763</v>
      </c>
      <c r="H72" s="978">
        <f t="shared" ref="H72:N72" si="34">IF($F$71=0,0,(INT(H71/$F71*$F70)))</f>
        <v>0</v>
      </c>
      <c r="I72" s="978">
        <f t="shared" si="34"/>
        <v>0</v>
      </c>
      <c r="J72" s="978">
        <f t="shared" si="34"/>
        <v>0</v>
      </c>
      <c r="K72" s="978">
        <f t="shared" si="34"/>
        <v>0</v>
      </c>
      <c r="L72" s="978">
        <f t="shared" si="34"/>
        <v>0</v>
      </c>
      <c r="M72" s="978">
        <f t="shared" si="34"/>
        <v>0</v>
      </c>
      <c r="N72" s="978">
        <f t="shared" si="34"/>
        <v>0</v>
      </c>
    </row>
    <row r="73" spans="1:14" s="846" customFormat="1" ht="13.5" hidden="1" customHeight="1">
      <c r="A73" s="974"/>
      <c r="B73" s="2594" t="s">
        <v>2589</v>
      </c>
      <c r="C73" s="2595"/>
      <c r="D73" s="975"/>
      <c r="E73" s="976"/>
      <c r="F73" s="977">
        <f>F70-F72</f>
        <v>0</v>
      </c>
      <c r="G73" s="978">
        <f>IF($F73=0,0,IF(G72=0,0,$F73))</f>
        <v>0</v>
      </c>
      <c r="H73" s="978">
        <f>IF($F73=0,0,IF(H72=0,0,IF(SUM($G73:G73)=0,$F73,0)))</f>
        <v>0</v>
      </c>
      <c r="I73" s="978">
        <f>IF($F73=0,0,IF(I72=0,0,IF(SUM($G73:H73)=0,$F73,0)))</f>
        <v>0</v>
      </c>
      <c r="J73" s="978">
        <f>IF($F73=0,0,IF(J72=0,0,IF(SUM($G73:I73)=0,$F73,0)))</f>
        <v>0</v>
      </c>
      <c r="K73" s="978">
        <f>IF($F73=0,0,IF(K72=0,0,IF(SUM($G73:J73)=0,$F73,0)))</f>
        <v>0</v>
      </c>
      <c r="L73" s="978">
        <f>IF($F73=0,0,IF(L72=0,0,IF(SUM($G73:K73)=0,$F73,0)))</f>
        <v>0</v>
      </c>
      <c r="M73" s="978">
        <f>IF($F73=0,0,IF(M72=0,0,IF(SUM($G73:L73)=0,$F73,0)))</f>
        <v>0</v>
      </c>
      <c r="N73" s="978">
        <f>IF($F73=0,0,IF(N72=0,0,IF(SUM($G73:M73)=0,$F73,0)))</f>
        <v>0</v>
      </c>
    </row>
    <row r="74" spans="1:14" s="846" customFormat="1" ht="13.5" customHeight="1">
      <c r="A74" s="991"/>
      <c r="B74" s="1005" t="s">
        <v>2590</v>
      </c>
      <c r="C74" s="1006"/>
      <c r="D74" s="1007"/>
      <c r="E74" s="1008"/>
      <c r="F74" s="977">
        <f t="shared" ref="F74:F81" si="35">SUM(G74:N74)</f>
        <v>508660</v>
      </c>
      <c r="G74" s="984">
        <f>IF(G67=0,0,G69+G72+G73)</f>
        <v>508660</v>
      </c>
      <c r="H74" s="984">
        <f t="shared" ref="H74:N74" si="36">IF(H67=0,0,H69+H72+H73)</f>
        <v>0</v>
      </c>
      <c r="I74" s="984">
        <f t="shared" si="36"/>
        <v>0</v>
      </c>
      <c r="J74" s="984">
        <f t="shared" si="36"/>
        <v>0</v>
      </c>
      <c r="K74" s="984">
        <f t="shared" si="36"/>
        <v>0</v>
      </c>
      <c r="L74" s="984">
        <f t="shared" si="36"/>
        <v>0</v>
      </c>
      <c r="M74" s="984">
        <f t="shared" si="36"/>
        <v>0</v>
      </c>
      <c r="N74" s="984">
        <f t="shared" si="36"/>
        <v>0</v>
      </c>
    </row>
    <row r="75" spans="1:14" s="846" customFormat="1" ht="13.5" customHeight="1" thickBot="1">
      <c r="A75" s="1009" t="s">
        <v>2591</v>
      </c>
      <c r="B75" s="1010"/>
      <c r="C75" s="1011"/>
      <c r="D75" s="1012"/>
      <c r="E75" s="1013"/>
      <c r="F75" s="1014">
        <f t="shared" si="35"/>
        <v>4966218</v>
      </c>
      <c r="G75" s="1015">
        <f>+G13+G66+G74</f>
        <v>4966218</v>
      </c>
      <c r="H75" s="1015">
        <f t="shared" ref="H75:N75" si="37">+H13+H66+H74</f>
        <v>0</v>
      </c>
      <c r="I75" s="1015">
        <f t="shared" si="37"/>
        <v>0</v>
      </c>
      <c r="J75" s="1015">
        <f t="shared" si="37"/>
        <v>0</v>
      </c>
      <c r="K75" s="1015">
        <f t="shared" si="37"/>
        <v>0</v>
      </c>
      <c r="L75" s="1015">
        <f t="shared" si="37"/>
        <v>0</v>
      </c>
      <c r="M75" s="1015">
        <f t="shared" si="37"/>
        <v>0</v>
      </c>
      <c r="N75" s="1015">
        <f t="shared" si="37"/>
        <v>0</v>
      </c>
    </row>
    <row r="76" spans="1:14" s="846" customFormat="1" ht="13.5" customHeight="1" thickTop="1">
      <c r="A76" s="1016" t="s">
        <v>394</v>
      </c>
      <c r="B76" s="1017"/>
      <c r="C76" s="1017"/>
      <c r="D76" s="1017"/>
      <c r="E76" s="1018" t="s">
        <v>2592</v>
      </c>
      <c r="F76" s="1019">
        <f t="shared" si="35"/>
        <v>4966000</v>
      </c>
      <c r="G76" s="1020">
        <f>IF(G75&lt;0,ROUNDUP(G75,-3),ROUNDDOWN(G75,-3))</f>
        <v>4966000</v>
      </c>
      <c r="H76" s="1020">
        <f t="shared" ref="H76:N76" si="38">IF(H75&lt;0,ROUNDUP(H75,-3),ROUNDDOWN(H75,-3))</f>
        <v>0</v>
      </c>
      <c r="I76" s="1020">
        <f t="shared" si="38"/>
        <v>0</v>
      </c>
      <c r="J76" s="1020">
        <f t="shared" si="38"/>
        <v>0</v>
      </c>
      <c r="K76" s="1020">
        <f t="shared" si="38"/>
        <v>0</v>
      </c>
      <c r="L76" s="1020">
        <f t="shared" si="38"/>
        <v>0</v>
      </c>
      <c r="M76" s="1020">
        <f t="shared" si="38"/>
        <v>0</v>
      </c>
      <c r="N76" s="1021">
        <f t="shared" si="38"/>
        <v>0</v>
      </c>
    </row>
    <row r="77" spans="1:14" s="846" customFormat="1" ht="13.5" customHeight="1">
      <c r="A77" s="1022"/>
      <c r="B77" s="2609" t="s">
        <v>2593</v>
      </c>
      <c r="C77" s="1023" t="s">
        <v>2594</v>
      </c>
      <c r="D77" s="1023"/>
      <c r="E77" s="1023"/>
      <c r="F77" s="1024">
        <f t="shared" si="35"/>
        <v>4094511</v>
      </c>
      <c r="G77" s="1025">
        <f t="shared" ref="G77:N77" si="39">+G13</f>
        <v>4094511</v>
      </c>
      <c r="H77" s="1025">
        <f t="shared" si="39"/>
        <v>0</v>
      </c>
      <c r="I77" s="1025">
        <f t="shared" si="39"/>
        <v>0</v>
      </c>
      <c r="J77" s="1025">
        <f t="shared" si="39"/>
        <v>0</v>
      </c>
      <c r="K77" s="1025">
        <f t="shared" si="39"/>
        <v>0</v>
      </c>
      <c r="L77" s="1025">
        <f t="shared" si="39"/>
        <v>0</v>
      </c>
      <c r="M77" s="1025">
        <f t="shared" si="39"/>
        <v>0</v>
      </c>
      <c r="N77" s="1026">
        <f t="shared" si="39"/>
        <v>0</v>
      </c>
    </row>
    <row r="78" spans="1:14" s="846" customFormat="1" ht="13.5" customHeight="1" thickBot="1">
      <c r="A78" s="1027"/>
      <c r="B78" s="2610"/>
      <c r="C78" s="1028" t="s">
        <v>2595</v>
      </c>
      <c r="D78" s="1028"/>
      <c r="E78" s="1028"/>
      <c r="F78" s="1029">
        <f t="shared" si="35"/>
        <v>871489</v>
      </c>
      <c r="G78" s="1030">
        <f>+G76-G77</f>
        <v>871489</v>
      </c>
      <c r="H78" s="1030">
        <f t="shared" ref="H78:N78" si="40">+H76-H77</f>
        <v>0</v>
      </c>
      <c r="I78" s="1030">
        <f t="shared" si="40"/>
        <v>0</v>
      </c>
      <c r="J78" s="1030">
        <f t="shared" si="40"/>
        <v>0</v>
      </c>
      <c r="K78" s="1030">
        <f t="shared" si="40"/>
        <v>0</v>
      </c>
      <c r="L78" s="1030">
        <f t="shared" si="40"/>
        <v>0</v>
      </c>
      <c r="M78" s="1030">
        <f t="shared" si="40"/>
        <v>0</v>
      </c>
      <c r="N78" s="1031">
        <f t="shared" si="40"/>
        <v>0</v>
      </c>
    </row>
    <row r="79" spans="1:14" s="846" customFormat="1" ht="13.5" customHeight="1" thickTop="1">
      <c r="A79" s="1016" t="s">
        <v>2596</v>
      </c>
      <c r="B79" s="1017"/>
      <c r="C79" s="1017"/>
      <c r="D79" s="1017"/>
      <c r="E79" s="1018" t="s">
        <v>2592</v>
      </c>
      <c r="F79" s="1019">
        <f t="shared" si="35"/>
        <v>3693000</v>
      </c>
      <c r="G79" s="1020">
        <f t="shared" ref="G79:N79" si="41">IF(G75&lt;0,ROUNDUP(G75*$G$2,-3),ROUNDDOWN(G75*$G$2,-3))</f>
        <v>3693000</v>
      </c>
      <c r="H79" s="1020">
        <f t="shared" si="41"/>
        <v>0</v>
      </c>
      <c r="I79" s="1020">
        <f t="shared" si="41"/>
        <v>0</v>
      </c>
      <c r="J79" s="1020">
        <f t="shared" si="41"/>
        <v>0</v>
      </c>
      <c r="K79" s="1020">
        <f t="shared" si="41"/>
        <v>0</v>
      </c>
      <c r="L79" s="1020">
        <f t="shared" si="41"/>
        <v>0</v>
      </c>
      <c r="M79" s="1020">
        <f t="shared" si="41"/>
        <v>0</v>
      </c>
      <c r="N79" s="1021">
        <f t="shared" si="41"/>
        <v>0</v>
      </c>
    </row>
    <row r="80" spans="1:14" s="846" customFormat="1" ht="13.5" customHeight="1">
      <c r="A80" s="1022"/>
      <c r="B80" s="2609" t="s">
        <v>2593</v>
      </c>
      <c r="C80" s="1023" t="s">
        <v>2594</v>
      </c>
      <c r="D80" s="1023"/>
      <c r="E80" s="1023"/>
      <c r="F80" s="1024">
        <f t="shared" si="35"/>
        <v>3045088</v>
      </c>
      <c r="G80" s="1025">
        <f t="shared" ref="G80:N80" si="42">IF(G77&lt;0,ROUNDDOWN(G77*$G$2,0),ROUNDUP(G77*$G$2,0))</f>
        <v>3045088</v>
      </c>
      <c r="H80" s="1025">
        <f t="shared" si="42"/>
        <v>0</v>
      </c>
      <c r="I80" s="1025">
        <f t="shared" si="42"/>
        <v>0</v>
      </c>
      <c r="J80" s="1025">
        <f t="shared" si="42"/>
        <v>0</v>
      </c>
      <c r="K80" s="1025">
        <f t="shared" si="42"/>
        <v>0</v>
      </c>
      <c r="L80" s="1025">
        <f t="shared" si="42"/>
        <v>0</v>
      </c>
      <c r="M80" s="1025">
        <f t="shared" si="42"/>
        <v>0</v>
      </c>
      <c r="N80" s="1026">
        <f t="shared" si="42"/>
        <v>0</v>
      </c>
    </row>
    <row r="81" spans="1:14" s="846" customFormat="1" ht="13.5" customHeight="1">
      <c r="A81" s="1027"/>
      <c r="B81" s="2611"/>
      <c r="C81" s="1028" t="s">
        <v>2595</v>
      </c>
      <c r="D81" s="1028"/>
      <c r="E81" s="1028"/>
      <c r="F81" s="1029">
        <f t="shared" si="35"/>
        <v>647912</v>
      </c>
      <c r="G81" s="1030">
        <f t="shared" ref="G81:N81" si="43">+G79-G80</f>
        <v>647912</v>
      </c>
      <c r="H81" s="1030">
        <f t="shared" si="43"/>
        <v>0</v>
      </c>
      <c r="I81" s="1030">
        <f t="shared" si="43"/>
        <v>0</v>
      </c>
      <c r="J81" s="1030">
        <f t="shared" si="43"/>
        <v>0</v>
      </c>
      <c r="K81" s="1030">
        <f t="shared" si="43"/>
        <v>0</v>
      </c>
      <c r="L81" s="1030">
        <f t="shared" si="43"/>
        <v>0</v>
      </c>
      <c r="M81" s="1030">
        <f t="shared" si="43"/>
        <v>0</v>
      </c>
      <c r="N81" s="1031">
        <f t="shared" si="43"/>
        <v>0</v>
      </c>
    </row>
    <row r="82" spans="1:14" s="885" customFormat="1" ht="13.5" customHeight="1">
      <c r="A82" s="1032"/>
      <c r="B82" s="1032"/>
      <c r="C82" s="1033"/>
      <c r="D82" s="1034"/>
      <c r="E82" s="1035" t="s">
        <v>2513</v>
      </c>
      <c r="F82" s="1036" t="str">
        <f>+F1</f>
        <v>ア）東梅田駅</v>
      </c>
      <c r="G82" s="1037"/>
      <c r="H82" s="1038"/>
      <c r="I82" s="1039"/>
      <c r="J82" s="844"/>
      <c r="K82" s="844"/>
      <c r="L82" s="844"/>
      <c r="M82" s="844"/>
      <c r="N82" s="845" t="s">
        <v>2597</v>
      </c>
    </row>
    <row r="83" spans="1:14" s="896" customFormat="1" ht="13.5" customHeight="1">
      <c r="A83" s="1040"/>
      <c r="B83" s="1040"/>
      <c r="C83" s="1041" t="str">
        <f>IF(OR(G83="無し",G83="なし"),"共通費集計表","随契諸経費集計表")</f>
        <v>共通費集計表</v>
      </c>
      <c r="D83" s="808"/>
      <c r="E83" s="1042"/>
      <c r="F83" s="1043" t="s">
        <v>2598</v>
      </c>
      <c r="G83" s="1044" t="s">
        <v>2599</v>
      </c>
      <c r="H83" s="1045"/>
      <c r="J83" s="1046"/>
      <c r="K83" s="1046"/>
      <c r="L83" s="1046"/>
      <c r="M83" s="1043"/>
      <c r="N83" s="1047"/>
    </row>
    <row r="84" spans="1:14" s="885" customFormat="1" ht="13.5" customHeight="1">
      <c r="A84" s="877"/>
      <c r="B84" s="878"/>
      <c r="C84" s="879" t="s">
        <v>2522</v>
      </c>
      <c r="D84" s="880"/>
      <c r="E84" s="881"/>
      <c r="F84" s="882" t="s">
        <v>2600</v>
      </c>
      <c r="G84" s="1048">
        <v>16.600000000000001</v>
      </c>
      <c r="H84" s="1048">
        <v>11</v>
      </c>
      <c r="I84" s="1048">
        <v>16.600000000000001</v>
      </c>
      <c r="J84" s="1048">
        <v>16.600000000000001</v>
      </c>
      <c r="K84" s="1048">
        <v>16.600000000000001</v>
      </c>
      <c r="L84" s="1048"/>
      <c r="M84" s="1048"/>
      <c r="N84" s="1049"/>
    </row>
    <row r="85" spans="1:14" s="885" customFormat="1" ht="13.5" customHeight="1">
      <c r="A85" s="1294"/>
      <c r="B85" s="1295"/>
      <c r="C85" s="888" t="s">
        <v>2524</v>
      </c>
      <c r="D85" s="889"/>
      <c r="E85" s="890"/>
      <c r="F85" s="891" t="s">
        <v>2601</v>
      </c>
      <c r="G85" s="1050" t="s">
        <v>2959</v>
      </c>
      <c r="H85" s="1050" t="s">
        <v>2959</v>
      </c>
      <c r="I85" s="1050" t="s">
        <v>2959</v>
      </c>
      <c r="J85" s="1050" t="s">
        <v>2959</v>
      </c>
      <c r="K85" s="1050" t="s">
        <v>2959</v>
      </c>
      <c r="L85" s="1050"/>
      <c r="M85" s="1050"/>
      <c r="N85" s="1051"/>
    </row>
    <row r="86" spans="1:14" s="896" customFormat="1" ht="13.5" customHeight="1">
      <c r="A86" s="1294"/>
      <c r="B86" s="1295"/>
      <c r="C86" s="1295" t="s">
        <v>2602</v>
      </c>
      <c r="D86" s="1295"/>
      <c r="E86" s="1052" t="s">
        <v>2608</v>
      </c>
      <c r="F86" s="1053" t="s">
        <v>2517</v>
      </c>
      <c r="G86" s="1054" t="s">
        <v>2960</v>
      </c>
      <c r="H86" s="1054" t="s">
        <v>2961</v>
      </c>
      <c r="I86" s="1054" t="s">
        <v>2962</v>
      </c>
      <c r="J86" s="1054" t="s">
        <v>2963</v>
      </c>
      <c r="K86" s="1054" t="s">
        <v>2964</v>
      </c>
      <c r="L86" s="1054"/>
      <c r="M86" s="1054"/>
      <c r="N86" s="1055"/>
    </row>
    <row r="87" spans="1:14" s="896" customFormat="1" ht="13.5" customHeight="1">
      <c r="A87" s="1294"/>
      <c r="B87" s="1295"/>
      <c r="C87" s="1295" t="s">
        <v>2604</v>
      </c>
      <c r="D87" s="1295"/>
      <c r="E87" s="1052" t="s">
        <v>2603</v>
      </c>
      <c r="F87" s="1056" t="s">
        <v>2605</v>
      </c>
      <c r="G87" s="1057" t="s">
        <v>2965</v>
      </c>
      <c r="H87" s="1057" t="s">
        <v>2966</v>
      </c>
      <c r="I87" s="1057" t="s">
        <v>2967</v>
      </c>
      <c r="J87" s="1057" t="s">
        <v>2968</v>
      </c>
      <c r="K87" s="1057" t="s">
        <v>2969</v>
      </c>
      <c r="L87" s="1057"/>
      <c r="M87" s="1057"/>
      <c r="N87" s="1058"/>
    </row>
    <row r="88" spans="1:14" s="896" customFormat="1" ht="13.5" customHeight="1">
      <c r="A88" s="2583" t="s">
        <v>2525</v>
      </c>
      <c r="B88" s="2584"/>
      <c r="C88" s="2584"/>
      <c r="D88" s="2584"/>
      <c r="E88" s="2584"/>
      <c r="F88" s="2585"/>
      <c r="G88" s="1059" t="s">
        <v>2606</v>
      </c>
      <c r="H88" s="1059" t="s">
        <v>2606</v>
      </c>
      <c r="I88" s="1059" t="s">
        <v>2606</v>
      </c>
      <c r="J88" s="1059" t="s">
        <v>2606</v>
      </c>
      <c r="K88" s="1059" t="s">
        <v>2606</v>
      </c>
      <c r="L88" s="1059" t="s">
        <v>2606</v>
      </c>
      <c r="M88" s="1059" t="s">
        <v>2606</v>
      </c>
      <c r="N88" s="1060" t="s">
        <v>2606</v>
      </c>
    </row>
    <row r="89" spans="1:14" s="896" customFormat="1" ht="30" customHeight="1">
      <c r="A89" s="2596" t="s">
        <v>2526</v>
      </c>
      <c r="B89" s="2597"/>
      <c r="C89" s="2597"/>
      <c r="D89" s="2597"/>
      <c r="E89" s="2597"/>
      <c r="F89" s="2598"/>
      <c r="G89" s="897" t="s">
        <v>2607</v>
      </c>
      <c r="H89" s="897" t="s">
        <v>2607</v>
      </c>
      <c r="I89" s="897" t="s">
        <v>2607</v>
      </c>
      <c r="J89" s="897" t="s">
        <v>2607</v>
      </c>
      <c r="K89" s="897" t="s">
        <v>2607</v>
      </c>
      <c r="L89" s="897" t="s">
        <v>2607</v>
      </c>
      <c r="M89" s="897" t="s">
        <v>2607</v>
      </c>
      <c r="N89" s="898" t="s">
        <v>2607</v>
      </c>
    </row>
    <row r="90" spans="1:14" s="896" customFormat="1" ht="30" customHeight="1">
      <c r="A90" s="2599" t="s">
        <v>2527</v>
      </c>
      <c r="B90" s="2600"/>
      <c r="C90" s="2600"/>
      <c r="D90" s="2600"/>
      <c r="E90" s="2600"/>
      <c r="F90" s="2601"/>
      <c r="G90" s="899" t="s">
        <v>2608</v>
      </c>
      <c r="H90" s="899" t="s">
        <v>2608</v>
      </c>
      <c r="I90" s="899" t="s">
        <v>2608</v>
      </c>
      <c r="J90" s="899" t="s">
        <v>2608</v>
      </c>
      <c r="K90" s="899" t="s">
        <v>2608</v>
      </c>
      <c r="L90" s="899" t="s">
        <v>2608</v>
      </c>
      <c r="M90" s="899" t="s">
        <v>2608</v>
      </c>
      <c r="N90" s="900" t="s">
        <v>2608</v>
      </c>
    </row>
    <row r="91" spans="1:14" s="896" customFormat="1" ht="13.5" customHeight="1">
      <c r="A91" s="877"/>
      <c r="B91" s="901" t="s">
        <v>2609</v>
      </c>
      <c r="C91" s="902"/>
      <c r="D91" s="902"/>
      <c r="E91" s="903"/>
      <c r="F91" s="904">
        <f>SUM(G91:N91)</f>
        <v>176014078</v>
      </c>
      <c r="G91" s="905">
        <f>+G92+G96</f>
        <v>33425885</v>
      </c>
      <c r="H91" s="905">
        <f>+H92+H96</f>
        <v>22318883</v>
      </c>
      <c r="I91" s="905">
        <f t="shared" ref="I91:N91" si="44">+I92+I96</f>
        <v>2131661</v>
      </c>
      <c r="J91" s="905">
        <f>+J92+J96</f>
        <v>107929486</v>
      </c>
      <c r="K91" s="905">
        <f>+K92+K96</f>
        <v>10208163</v>
      </c>
      <c r="L91" s="905">
        <f t="shared" si="44"/>
        <v>0</v>
      </c>
      <c r="M91" s="905">
        <f t="shared" si="44"/>
        <v>0</v>
      </c>
      <c r="N91" s="906">
        <f t="shared" si="44"/>
        <v>0</v>
      </c>
    </row>
    <row r="92" spans="1:14" s="896" customFormat="1" ht="13.5" customHeight="1">
      <c r="A92" s="1294"/>
      <c r="B92" s="1295"/>
      <c r="C92" s="694" t="s">
        <v>2529</v>
      </c>
      <c r="D92" s="695"/>
      <c r="E92" s="881"/>
      <c r="F92" s="907">
        <f>SUM(G92:N92)</f>
        <v>165827470</v>
      </c>
      <c r="G92" s="1061">
        <v>29215287</v>
      </c>
      <c r="H92" s="1061">
        <v>21555646</v>
      </c>
      <c r="I92" s="1061">
        <v>2052481</v>
      </c>
      <c r="J92" s="1061">
        <v>103212496</v>
      </c>
      <c r="K92" s="1061">
        <v>9791560</v>
      </c>
      <c r="L92" s="1061"/>
      <c r="M92" s="1061"/>
      <c r="N92" s="1062"/>
    </row>
    <row r="93" spans="1:14" s="896" customFormat="1" ht="13.5" customHeight="1">
      <c r="A93" s="1294"/>
      <c r="B93" s="1295"/>
      <c r="C93" s="1063"/>
      <c r="D93" s="1063"/>
      <c r="E93" s="910"/>
      <c r="F93" s="911" t="s">
        <v>2610</v>
      </c>
      <c r="G93" s="912">
        <f>SUM(G185:G194)</f>
        <v>3455824</v>
      </c>
      <c r="H93" s="912">
        <f t="shared" ref="H93:N93" si="45">SUM(H185:H194)</f>
        <v>10832</v>
      </c>
      <c r="I93" s="912">
        <f t="shared" si="45"/>
        <v>342973</v>
      </c>
      <c r="J93" s="912">
        <f>SUM(J185:J194)</f>
        <v>1481506</v>
      </c>
      <c r="K93" s="912">
        <f>SUM(K185:K194)</f>
        <v>403697</v>
      </c>
      <c r="L93" s="912">
        <f t="shared" si="45"/>
        <v>0</v>
      </c>
      <c r="M93" s="912">
        <f t="shared" si="45"/>
        <v>0</v>
      </c>
      <c r="N93" s="913">
        <f t="shared" si="45"/>
        <v>0</v>
      </c>
    </row>
    <row r="94" spans="1:14" s="896" customFormat="1" ht="13.5" customHeight="1">
      <c r="A94" s="1294"/>
      <c r="B94" s="1295"/>
      <c r="C94" s="1063"/>
      <c r="D94" s="1063"/>
      <c r="E94" s="910"/>
      <c r="F94" s="911" t="s">
        <v>2611</v>
      </c>
      <c r="G94" s="912">
        <f>SUM(G232:G234)</f>
        <v>0</v>
      </c>
      <c r="H94" s="912">
        <f t="shared" ref="H94:N94" si="46">SUM(H232:H234)</f>
        <v>0</v>
      </c>
      <c r="I94" s="912">
        <f t="shared" si="46"/>
        <v>0</v>
      </c>
      <c r="J94" s="912">
        <f>SUM(J232:J234)</f>
        <v>0</v>
      </c>
      <c r="K94" s="912">
        <f>SUM(K232:K234)</f>
        <v>0</v>
      </c>
      <c r="L94" s="912">
        <f t="shared" si="46"/>
        <v>0</v>
      </c>
      <c r="M94" s="912">
        <f t="shared" si="46"/>
        <v>0</v>
      </c>
      <c r="N94" s="913">
        <f t="shared" si="46"/>
        <v>0</v>
      </c>
    </row>
    <row r="95" spans="1:14" s="896" customFormat="1" ht="13.5" customHeight="1">
      <c r="A95" s="1294"/>
      <c r="B95" s="1295"/>
      <c r="C95" s="1063"/>
      <c r="D95" s="1063"/>
      <c r="E95" s="910"/>
      <c r="F95" s="1064" t="s">
        <v>2612</v>
      </c>
      <c r="G95" s="912">
        <f>+G134</f>
        <v>0</v>
      </c>
      <c r="H95" s="912">
        <f t="shared" ref="H95:N95" si="47">+H134</f>
        <v>0</v>
      </c>
      <c r="I95" s="912">
        <f t="shared" si="47"/>
        <v>0</v>
      </c>
      <c r="J95" s="912">
        <f t="shared" si="47"/>
        <v>0</v>
      </c>
      <c r="K95" s="912">
        <f>+K134</f>
        <v>0</v>
      </c>
      <c r="L95" s="912">
        <f t="shared" si="47"/>
        <v>0</v>
      </c>
      <c r="M95" s="912">
        <f t="shared" si="47"/>
        <v>0</v>
      </c>
      <c r="N95" s="913">
        <f t="shared" si="47"/>
        <v>0</v>
      </c>
    </row>
    <row r="96" spans="1:14" s="896" customFormat="1" ht="13.5" customHeight="1">
      <c r="A96" s="1294"/>
      <c r="B96" s="1295"/>
      <c r="C96" s="701" t="s">
        <v>2530</v>
      </c>
      <c r="D96" s="701"/>
      <c r="E96" s="910"/>
      <c r="F96" s="911">
        <f t="shared" ref="F96:F113" si="48">SUM(G96:N96)</f>
        <v>10186608</v>
      </c>
      <c r="G96" s="912">
        <f>G97+G98</f>
        <v>4210598</v>
      </c>
      <c r="H96" s="912">
        <f t="shared" ref="H96:N96" si="49">H97+H98</f>
        <v>763237</v>
      </c>
      <c r="I96" s="912">
        <f t="shared" si="49"/>
        <v>79180</v>
      </c>
      <c r="J96" s="912">
        <f t="shared" si="49"/>
        <v>4716990</v>
      </c>
      <c r="K96" s="912">
        <f>K97+K98</f>
        <v>416603</v>
      </c>
      <c r="L96" s="912">
        <f t="shared" si="49"/>
        <v>0</v>
      </c>
      <c r="M96" s="912">
        <f t="shared" si="49"/>
        <v>0</v>
      </c>
      <c r="N96" s="913">
        <f t="shared" si="49"/>
        <v>0</v>
      </c>
    </row>
    <row r="97" spans="1:14" s="896" customFormat="1" ht="13.5" customHeight="1">
      <c r="A97" s="1294"/>
      <c r="B97" s="1295"/>
      <c r="C97" s="914" t="s">
        <v>2531</v>
      </c>
      <c r="D97" s="701"/>
      <c r="E97" s="910"/>
      <c r="F97" s="911">
        <f t="shared" si="48"/>
        <v>5168436</v>
      </c>
      <c r="G97" s="912">
        <f t="shared" ref="G97:N97" si="50">IF(G88="積上げ",0,G174)</f>
        <v>869163</v>
      </c>
      <c r="H97" s="912">
        <f t="shared" si="50"/>
        <v>624799</v>
      </c>
      <c r="I97" s="912">
        <f t="shared" si="50"/>
        <v>58877</v>
      </c>
      <c r="J97" s="912">
        <f t="shared" si="50"/>
        <v>3307304</v>
      </c>
      <c r="K97" s="912">
        <f t="shared" si="50"/>
        <v>308293</v>
      </c>
      <c r="L97" s="912">
        <f t="shared" si="50"/>
        <v>0</v>
      </c>
      <c r="M97" s="912">
        <f t="shared" si="50"/>
        <v>0</v>
      </c>
      <c r="N97" s="913">
        <f t="shared" si="50"/>
        <v>0</v>
      </c>
    </row>
    <row r="98" spans="1:14" s="896" customFormat="1" ht="13.5" customHeight="1">
      <c r="A98" s="1294"/>
      <c r="B98" s="1295"/>
      <c r="C98" s="914" t="s">
        <v>2537</v>
      </c>
      <c r="D98" s="701"/>
      <c r="E98" s="910"/>
      <c r="F98" s="911">
        <f t="shared" si="48"/>
        <v>5018172</v>
      </c>
      <c r="G98" s="1065">
        <v>3341435</v>
      </c>
      <c r="H98" s="1065">
        <v>138438</v>
      </c>
      <c r="I98" s="1065">
        <v>20303</v>
      </c>
      <c r="J98" s="1065">
        <v>1409686</v>
      </c>
      <c r="K98" s="1065">
        <v>108310</v>
      </c>
      <c r="L98" s="1065"/>
      <c r="M98" s="1065"/>
      <c r="N98" s="1066"/>
    </row>
    <row r="99" spans="1:14" s="896" customFormat="1" ht="13.5" customHeight="1">
      <c r="A99" s="1294"/>
      <c r="B99" s="1295"/>
      <c r="C99" s="922" t="s">
        <v>2538</v>
      </c>
      <c r="D99" s="701"/>
      <c r="E99" s="910"/>
      <c r="F99" s="911">
        <f t="shared" si="48"/>
        <v>0</v>
      </c>
      <c r="G99" s="1065"/>
      <c r="H99" s="1065"/>
      <c r="I99" s="1065"/>
      <c r="J99" s="1065"/>
      <c r="K99" s="1065"/>
      <c r="L99" s="1065"/>
      <c r="M99" s="1065"/>
      <c r="N99" s="1066"/>
    </row>
    <row r="100" spans="1:14" s="896" customFormat="1" ht="13.5" customHeight="1">
      <c r="A100" s="1294"/>
      <c r="B100" s="1295"/>
      <c r="C100" s="923" t="s">
        <v>2539</v>
      </c>
      <c r="D100" s="924"/>
      <c r="E100" s="925"/>
      <c r="F100" s="926">
        <f t="shared" si="48"/>
        <v>0</v>
      </c>
      <c r="G100" s="1067"/>
      <c r="H100" s="1067"/>
      <c r="I100" s="1067"/>
      <c r="J100" s="1067"/>
      <c r="K100" s="1067"/>
      <c r="L100" s="1067"/>
      <c r="M100" s="1067"/>
      <c r="N100" s="1068"/>
    </row>
    <row r="101" spans="1:14" s="896" customFormat="1" ht="13.5" customHeight="1">
      <c r="A101" s="1069"/>
      <c r="B101" s="1070"/>
      <c r="C101" s="1071" t="s">
        <v>2613</v>
      </c>
      <c r="D101" s="1072"/>
      <c r="E101" s="945"/>
      <c r="F101" s="946">
        <f t="shared" si="48"/>
        <v>0</v>
      </c>
      <c r="G101" s="1073">
        <f>+G135</f>
        <v>0</v>
      </c>
      <c r="H101" s="1073">
        <f t="shared" ref="H101:N101" si="51">+H135</f>
        <v>0</v>
      </c>
      <c r="I101" s="1073">
        <f t="shared" si="51"/>
        <v>0</v>
      </c>
      <c r="J101" s="1073">
        <f t="shared" si="51"/>
        <v>0</v>
      </c>
      <c r="K101" s="1073">
        <f>+K135</f>
        <v>0</v>
      </c>
      <c r="L101" s="1073">
        <f t="shared" si="51"/>
        <v>0</v>
      </c>
      <c r="M101" s="1073">
        <f t="shared" si="51"/>
        <v>0</v>
      </c>
      <c r="N101" s="1074">
        <f t="shared" si="51"/>
        <v>0</v>
      </c>
    </row>
    <row r="102" spans="1:14" s="896" customFormat="1" ht="13.5" customHeight="1">
      <c r="A102" s="1294"/>
      <c r="B102" s="924" t="s">
        <v>2614</v>
      </c>
      <c r="C102" s="924"/>
      <c r="D102" s="924"/>
      <c r="E102" s="925"/>
      <c r="F102" s="926">
        <f t="shared" si="48"/>
        <v>45285922</v>
      </c>
      <c r="G102" s="1075">
        <f>G103+G108</f>
        <v>8416115</v>
      </c>
      <c r="H102" s="1075">
        <f t="shared" ref="H102:N102" si="52">H103+H108</f>
        <v>5433117</v>
      </c>
      <c r="I102" s="1075">
        <f t="shared" si="52"/>
        <v>522339</v>
      </c>
      <c r="J102" s="1075">
        <f t="shared" si="52"/>
        <v>28269514</v>
      </c>
      <c r="K102" s="1075">
        <f>K103+K108</f>
        <v>2644837</v>
      </c>
      <c r="L102" s="1075">
        <f t="shared" si="52"/>
        <v>0</v>
      </c>
      <c r="M102" s="1075">
        <f t="shared" si="52"/>
        <v>0</v>
      </c>
      <c r="N102" s="1076">
        <f t="shared" si="52"/>
        <v>0</v>
      </c>
    </row>
    <row r="103" spans="1:14" s="896" customFormat="1" ht="13.5" customHeight="1">
      <c r="A103" s="1294"/>
      <c r="B103" s="1295"/>
      <c r="C103" s="694" t="s">
        <v>2615</v>
      </c>
      <c r="D103" s="694"/>
      <c r="E103" s="882"/>
      <c r="F103" s="907">
        <f t="shared" si="48"/>
        <v>20162722</v>
      </c>
      <c r="G103" s="1077">
        <f>G104+G107</f>
        <v>3667017</v>
      </c>
      <c r="H103" s="1077">
        <f t="shared" ref="H103:N103" si="53">H104+H107</f>
        <v>2282113</v>
      </c>
      <c r="I103" s="1077">
        <f t="shared" si="53"/>
        <v>221648</v>
      </c>
      <c r="J103" s="1077">
        <f t="shared" si="53"/>
        <v>12806355</v>
      </c>
      <c r="K103" s="1077">
        <f>K104+K107</f>
        <v>1185589</v>
      </c>
      <c r="L103" s="1077">
        <f t="shared" si="53"/>
        <v>0</v>
      </c>
      <c r="M103" s="1077">
        <f t="shared" si="53"/>
        <v>0</v>
      </c>
      <c r="N103" s="1078">
        <f t="shared" si="53"/>
        <v>0</v>
      </c>
    </row>
    <row r="104" spans="1:14" s="896" customFormat="1" ht="13.5" customHeight="1">
      <c r="A104" s="1294"/>
      <c r="B104" s="1295"/>
      <c r="C104" s="1079" t="s">
        <v>2616</v>
      </c>
      <c r="D104" s="1079"/>
      <c r="E104" s="891"/>
      <c r="F104" s="911">
        <f t="shared" si="48"/>
        <v>20162722</v>
      </c>
      <c r="G104" s="1080">
        <f>SUM(G105:G106)-G107</f>
        <v>3667017</v>
      </c>
      <c r="H104" s="1080">
        <f t="shared" ref="H104:N104" si="54">SUM(H105:H106)-H107</f>
        <v>2282113</v>
      </c>
      <c r="I104" s="1080">
        <f t="shared" si="54"/>
        <v>221648</v>
      </c>
      <c r="J104" s="1080">
        <f t="shared" si="54"/>
        <v>12806355</v>
      </c>
      <c r="K104" s="1080">
        <f>SUM(K105:K106)-K107</f>
        <v>1185589</v>
      </c>
      <c r="L104" s="1080">
        <f t="shared" si="54"/>
        <v>0</v>
      </c>
      <c r="M104" s="1080">
        <f t="shared" si="54"/>
        <v>0</v>
      </c>
      <c r="N104" s="1081">
        <f t="shared" si="54"/>
        <v>0</v>
      </c>
    </row>
    <row r="105" spans="1:14" s="896" customFormat="1" ht="13.5" customHeight="1">
      <c r="A105" s="1294"/>
      <c r="B105" s="1295"/>
      <c r="C105" s="1082" t="s">
        <v>2617</v>
      </c>
      <c r="D105" s="1082"/>
      <c r="E105" s="910"/>
      <c r="F105" s="911">
        <f t="shared" si="48"/>
        <v>20058256</v>
      </c>
      <c r="G105" s="912">
        <f>SUM(G200:G202)+G198</f>
        <v>3599404</v>
      </c>
      <c r="H105" s="912">
        <f t="shared" ref="H105:N105" si="55">SUM(H200:H202)+H198</f>
        <v>2282113</v>
      </c>
      <c r="I105" s="912">
        <f t="shared" si="55"/>
        <v>214821</v>
      </c>
      <c r="J105" s="912">
        <f t="shared" si="55"/>
        <v>12784402</v>
      </c>
      <c r="K105" s="912">
        <f>SUM(K200:K202)+K198</f>
        <v>1177516</v>
      </c>
      <c r="L105" s="912">
        <f t="shared" si="55"/>
        <v>0</v>
      </c>
      <c r="M105" s="912">
        <f t="shared" si="55"/>
        <v>0</v>
      </c>
      <c r="N105" s="913">
        <f t="shared" si="55"/>
        <v>0</v>
      </c>
    </row>
    <row r="106" spans="1:14" s="896" customFormat="1" ht="13.5" customHeight="1">
      <c r="A106" s="1294"/>
      <c r="B106" s="1295"/>
      <c r="C106" s="1082" t="s">
        <v>2618</v>
      </c>
      <c r="D106" s="1082"/>
      <c r="E106" s="910"/>
      <c r="F106" s="911">
        <f t="shared" si="48"/>
        <v>104466</v>
      </c>
      <c r="G106" s="912">
        <f>SUM(G203:G214)</f>
        <v>67613</v>
      </c>
      <c r="H106" s="912">
        <f t="shared" ref="H106:N106" si="56">SUM(H203:H214)</f>
        <v>0</v>
      </c>
      <c r="I106" s="912">
        <f t="shared" si="56"/>
        <v>6827</v>
      </c>
      <c r="J106" s="912">
        <f>SUM(J203:J214)</f>
        <v>21953</v>
      </c>
      <c r="K106" s="912">
        <f>SUM(K203:K214)</f>
        <v>8073</v>
      </c>
      <c r="L106" s="912">
        <f t="shared" si="56"/>
        <v>0</v>
      </c>
      <c r="M106" s="912">
        <f t="shared" si="56"/>
        <v>0</v>
      </c>
      <c r="N106" s="913">
        <f t="shared" si="56"/>
        <v>0</v>
      </c>
    </row>
    <row r="107" spans="1:14" s="896" customFormat="1" ht="13.5" customHeight="1">
      <c r="A107" s="1294"/>
      <c r="B107" s="1295"/>
      <c r="C107" s="1082" t="s">
        <v>2619</v>
      </c>
      <c r="D107" s="1082"/>
      <c r="E107" s="910"/>
      <c r="F107" s="911">
        <f t="shared" si="48"/>
        <v>0</v>
      </c>
      <c r="G107" s="912">
        <f>+G212</f>
        <v>0</v>
      </c>
      <c r="H107" s="912">
        <f t="shared" ref="H107:N107" si="57">+H212</f>
        <v>0</v>
      </c>
      <c r="I107" s="912">
        <f t="shared" si="57"/>
        <v>0</v>
      </c>
      <c r="J107" s="912">
        <f t="shared" si="57"/>
        <v>0</v>
      </c>
      <c r="K107" s="912">
        <f>+K212</f>
        <v>0</v>
      </c>
      <c r="L107" s="912">
        <f t="shared" si="57"/>
        <v>0</v>
      </c>
      <c r="M107" s="912">
        <f t="shared" si="57"/>
        <v>0</v>
      </c>
      <c r="N107" s="913">
        <f t="shared" si="57"/>
        <v>0</v>
      </c>
    </row>
    <row r="108" spans="1:14" s="896" customFormat="1" ht="13.5" customHeight="1">
      <c r="A108" s="1294"/>
      <c r="B108" s="1295"/>
      <c r="C108" s="701" t="s">
        <v>2620</v>
      </c>
      <c r="D108" s="701"/>
      <c r="E108" s="910"/>
      <c r="F108" s="911">
        <f t="shared" si="48"/>
        <v>25123200</v>
      </c>
      <c r="G108" s="912">
        <f>SUM(G109:G112)</f>
        <v>4749098</v>
      </c>
      <c r="H108" s="912">
        <f t="shared" ref="H108:N108" si="58">SUM(H109:H112)</f>
        <v>3151004</v>
      </c>
      <c r="I108" s="912">
        <f t="shared" si="58"/>
        <v>300691</v>
      </c>
      <c r="J108" s="912">
        <f t="shared" si="58"/>
        <v>15463159</v>
      </c>
      <c r="K108" s="912">
        <f t="shared" si="58"/>
        <v>1459248</v>
      </c>
      <c r="L108" s="912">
        <f t="shared" si="58"/>
        <v>0</v>
      </c>
      <c r="M108" s="912">
        <f t="shared" si="58"/>
        <v>0</v>
      </c>
      <c r="N108" s="913">
        <f t="shared" si="58"/>
        <v>0</v>
      </c>
    </row>
    <row r="109" spans="1:14" s="896" customFormat="1" ht="13.5" customHeight="1">
      <c r="A109" s="1294"/>
      <c r="B109" s="1295"/>
      <c r="C109" s="1082" t="s">
        <v>2617</v>
      </c>
      <c r="D109" s="1082"/>
      <c r="E109" s="910"/>
      <c r="F109" s="1083">
        <f t="shared" si="48"/>
        <v>23850014</v>
      </c>
      <c r="G109" s="912">
        <f>IF(G237=0,0,+G237-G254)</f>
        <v>4508365</v>
      </c>
      <c r="H109" s="912">
        <f t="shared" ref="H109:N109" si="59">IF(H237=0,0,+H237-H254)</f>
        <v>2991344</v>
      </c>
      <c r="I109" s="912">
        <f t="shared" si="59"/>
        <v>285418</v>
      </c>
      <c r="J109" s="912">
        <f t="shared" si="59"/>
        <v>14679584</v>
      </c>
      <c r="K109" s="912">
        <f t="shared" si="59"/>
        <v>1385303</v>
      </c>
      <c r="L109" s="912">
        <f t="shared" si="59"/>
        <v>0</v>
      </c>
      <c r="M109" s="912">
        <f t="shared" si="59"/>
        <v>0</v>
      </c>
      <c r="N109" s="913">
        <f t="shared" si="59"/>
        <v>0</v>
      </c>
    </row>
    <row r="110" spans="1:14" s="896" customFormat="1" ht="13.5" customHeight="1">
      <c r="A110" s="1294"/>
      <c r="B110" s="1295"/>
      <c r="C110" s="1082" t="s">
        <v>2621</v>
      </c>
      <c r="D110" s="1082"/>
      <c r="E110" s="910"/>
      <c r="F110" s="911">
        <f t="shared" si="48"/>
        <v>1273186</v>
      </c>
      <c r="G110" s="912">
        <f>+G238+G239</f>
        <v>240733</v>
      </c>
      <c r="H110" s="912">
        <f t="shared" ref="H110:N110" si="60">+H238+H239</f>
        <v>159660</v>
      </c>
      <c r="I110" s="912">
        <f t="shared" si="60"/>
        <v>15273</v>
      </c>
      <c r="J110" s="912">
        <f>+J238+J239</f>
        <v>783575</v>
      </c>
      <c r="K110" s="912">
        <f>+K238+K239</f>
        <v>73945</v>
      </c>
      <c r="L110" s="912">
        <f t="shared" si="60"/>
        <v>0</v>
      </c>
      <c r="M110" s="912">
        <f t="shared" si="60"/>
        <v>0</v>
      </c>
      <c r="N110" s="913">
        <f t="shared" si="60"/>
        <v>0</v>
      </c>
    </row>
    <row r="111" spans="1:14" s="896" customFormat="1" ht="13.5" customHeight="1">
      <c r="A111" s="1294"/>
      <c r="B111" s="1295"/>
      <c r="C111" s="1082" t="s">
        <v>2622</v>
      </c>
      <c r="D111" s="1082"/>
      <c r="E111" s="910"/>
      <c r="F111" s="911">
        <f t="shared" si="48"/>
        <v>0</v>
      </c>
      <c r="G111" s="912">
        <f>SUM(G240:G244)</f>
        <v>0</v>
      </c>
      <c r="H111" s="912">
        <f t="shared" ref="H111:N111" si="61">SUM(H240:H244)</f>
        <v>0</v>
      </c>
      <c r="I111" s="912">
        <f t="shared" si="61"/>
        <v>0</v>
      </c>
      <c r="J111" s="912">
        <f>SUM(J240:J244)</f>
        <v>0</v>
      </c>
      <c r="K111" s="912">
        <f>SUM(K240:K244)</f>
        <v>0</v>
      </c>
      <c r="L111" s="912">
        <f t="shared" si="61"/>
        <v>0</v>
      </c>
      <c r="M111" s="912">
        <f t="shared" si="61"/>
        <v>0</v>
      </c>
      <c r="N111" s="913">
        <f t="shared" si="61"/>
        <v>0</v>
      </c>
    </row>
    <row r="112" spans="1:14" s="896" customFormat="1" ht="13.5" customHeight="1">
      <c r="A112" s="1294"/>
      <c r="B112" s="1295"/>
      <c r="C112" s="924" t="s">
        <v>2623</v>
      </c>
      <c r="D112" s="1295"/>
      <c r="E112" s="925"/>
      <c r="F112" s="926">
        <f t="shared" si="48"/>
        <v>0</v>
      </c>
      <c r="G112" s="1075">
        <f>IF(G245=0,0,+G245-G254)</f>
        <v>0</v>
      </c>
      <c r="H112" s="1075">
        <f t="shared" ref="H112:N112" si="62">IF(H245=0,0,+H245-H254)</f>
        <v>0</v>
      </c>
      <c r="I112" s="1075">
        <f t="shared" si="62"/>
        <v>0</v>
      </c>
      <c r="J112" s="1075">
        <f t="shared" si="62"/>
        <v>0</v>
      </c>
      <c r="K112" s="1075">
        <f t="shared" si="62"/>
        <v>0</v>
      </c>
      <c r="L112" s="1075">
        <f t="shared" si="62"/>
        <v>0</v>
      </c>
      <c r="M112" s="1075">
        <f t="shared" si="62"/>
        <v>0</v>
      </c>
      <c r="N112" s="1076">
        <f t="shared" si="62"/>
        <v>0</v>
      </c>
    </row>
    <row r="113" spans="1:14" s="896" customFormat="1" ht="13.5" customHeight="1">
      <c r="A113" s="1084"/>
      <c r="B113" s="902" t="s">
        <v>2624</v>
      </c>
      <c r="C113" s="902"/>
      <c r="D113" s="902"/>
      <c r="E113" s="1085"/>
      <c r="F113" s="904">
        <f t="shared" si="48"/>
        <v>221300000</v>
      </c>
      <c r="G113" s="905">
        <f>G91+G102</f>
        <v>41842000</v>
      </c>
      <c r="H113" s="905">
        <f t="shared" ref="H113:N113" si="63">H91+H102</f>
        <v>27752000</v>
      </c>
      <c r="I113" s="905">
        <f t="shared" si="63"/>
        <v>2654000</v>
      </c>
      <c r="J113" s="905">
        <f t="shared" si="63"/>
        <v>136199000</v>
      </c>
      <c r="K113" s="905">
        <f>K91+K102</f>
        <v>12853000</v>
      </c>
      <c r="L113" s="905">
        <f t="shared" si="63"/>
        <v>0</v>
      </c>
      <c r="M113" s="905">
        <f t="shared" si="63"/>
        <v>0</v>
      </c>
      <c r="N113" s="906">
        <f t="shared" si="63"/>
        <v>0</v>
      </c>
    </row>
    <row r="114" spans="1:14" s="896" customFormat="1" ht="15" customHeight="1">
      <c r="A114" s="1086"/>
      <c r="B114" s="1295"/>
      <c r="C114" s="1087" t="s">
        <v>2625</v>
      </c>
      <c r="D114" s="1087"/>
      <c r="E114" s="1088"/>
      <c r="F114" s="1042"/>
      <c r="G114" s="1089" t="s">
        <v>2626</v>
      </c>
      <c r="H114" s="1090"/>
      <c r="I114" s="1046"/>
      <c r="J114" s="1046"/>
      <c r="K114" s="1046"/>
      <c r="L114" s="1046"/>
      <c r="M114" s="1046"/>
      <c r="N114" s="1046"/>
    </row>
    <row r="115" spans="1:14" s="896" customFormat="1" ht="15" customHeight="1">
      <c r="A115" s="877"/>
      <c r="B115" s="878"/>
      <c r="C115" s="878"/>
      <c r="D115" s="878"/>
      <c r="E115" s="1091"/>
      <c r="F115" s="1092" t="s">
        <v>2517</v>
      </c>
      <c r="G115" s="1093" t="str">
        <f t="shared" ref="G115:N115" si="64">+G86</f>
        <v>工事1</v>
      </c>
      <c r="H115" s="1093" t="str">
        <f t="shared" si="64"/>
        <v>工事2</v>
      </c>
      <c r="I115" s="1093" t="str">
        <f t="shared" si="64"/>
        <v>工事3</v>
      </c>
      <c r="J115" s="1093" t="str">
        <f t="shared" si="64"/>
        <v>工事4</v>
      </c>
      <c r="K115" s="1093" t="str">
        <f t="shared" si="64"/>
        <v>工事5</v>
      </c>
      <c r="L115" s="1093">
        <f t="shared" si="64"/>
        <v>0</v>
      </c>
      <c r="M115" s="1093">
        <f t="shared" si="64"/>
        <v>0</v>
      </c>
      <c r="N115" s="1094">
        <f t="shared" si="64"/>
        <v>0</v>
      </c>
    </row>
    <row r="116" spans="1:14" s="896" customFormat="1" ht="15" customHeight="1">
      <c r="A116" s="929" t="s">
        <v>2540</v>
      </c>
      <c r="B116" s="930"/>
      <c r="C116" s="931"/>
      <c r="D116" s="931"/>
      <c r="E116" s="932"/>
      <c r="F116" s="933"/>
      <c r="G116" s="934"/>
      <c r="H116" s="934"/>
      <c r="I116" s="934"/>
      <c r="J116" s="934"/>
      <c r="K116" s="934"/>
      <c r="L116" s="934"/>
      <c r="M116" s="934"/>
      <c r="N116" s="935"/>
    </row>
    <row r="117" spans="1:14" s="896" customFormat="1" ht="15" customHeight="1">
      <c r="A117" s="2602"/>
      <c r="B117" s="2604" t="s">
        <v>2541</v>
      </c>
      <c r="C117" s="695" t="s">
        <v>2542</v>
      </c>
      <c r="D117" s="695"/>
      <c r="E117" s="882"/>
      <c r="F117" s="907">
        <f t="shared" ref="F117:F123" si="65">SUM(G117:N117)</f>
        <v>0</v>
      </c>
      <c r="G117" s="1077">
        <f t="shared" ref="G117:N117" si="66">IF(G85="新営",G92-SUM(G119:G130)-G134-G133,0)</f>
        <v>0</v>
      </c>
      <c r="H117" s="1077">
        <f t="shared" si="66"/>
        <v>0</v>
      </c>
      <c r="I117" s="1077">
        <f t="shared" si="66"/>
        <v>0</v>
      </c>
      <c r="J117" s="1077">
        <f t="shared" si="66"/>
        <v>0</v>
      </c>
      <c r="K117" s="1077">
        <f t="shared" si="66"/>
        <v>0</v>
      </c>
      <c r="L117" s="1077">
        <f t="shared" si="66"/>
        <v>0</v>
      </c>
      <c r="M117" s="1077">
        <f t="shared" si="66"/>
        <v>0</v>
      </c>
      <c r="N117" s="1077">
        <f t="shared" si="66"/>
        <v>0</v>
      </c>
    </row>
    <row r="118" spans="1:14" s="896" customFormat="1" ht="14.25" customHeight="1">
      <c r="A118" s="2602"/>
      <c r="B118" s="2605"/>
      <c r="C118" s="702" t="s">
        <v>2543</v>
      </c>
      <c r="D118" s="702"/>
      <c r="E118" s="910"/>
      <c r="F118" s="911">
        <f t="shared" si="65"/>
        <v>160184355</v>
      </c>
      <c r="G118" s="912">
        <f t="shared" ref="G118:N118" si="67">IF(G85="改修",G92-SUM(G119:G130)-G134-G133,0)</f>
        <v>25792935</v>
      </c>
      <c r="H118" s="912">
        <f t="shared" si="67"/>
        <v>21544814</v>
      </c>
      <c r="I118" s="912">
        <f t="shared" si="67"/>
        <v>1712888</v>
      </c>
      <c r="J118" s="912">
        <f t="shared" si="67"/>
        <v>101741858</v>
      </c>
      <c r="K118" s="912">
        <f t="shared" si="67"/>
        <v>9391860</v>
      </c>
      <c r="L118" s="912">
        <f t="shared" si="67"/>
        <v>0</v>
      </c>
      <c r="M118" s="912">
        <f t="shared" si="67"/>
        <v>0</v>
      </c>
      <c r="N118" s="912">
        <f t="shared" si="67"/>
        <v>0</v>
      </c>
    </row>
    <row r="119" spans="1:14" s="896" customFormat="1" ht="15" customHeight="1">
      <c r="A119" s="2602"/>
      <c r="B119" s="2605"/>
      <c r="C119" s="936" t="s">
        <v>2544</v>
      </c>
      <c r="D119" s="702"/>
      <c r="E119" s="910"/>
      <c r="F119" s="911">
        <f t="shared" si="65"/>
        <v>0</v>
      </c>
      <c r="G119" s="1065"/>
      <c r="H119" s="1065"/>
      <c r="I119" s="1065"/>
      <c r="J119" s="1065"/>
      <c r="K119" s="1065"/>
      <c r="L119" s="1065"/>
      <c r="M119" s="1065"/>
      <c r="N119" s="1066"/>
    </row>
    <row r="120" spans="1:14" s="896" customFormat="1" ht="15" customHeight="1">
      <c r="A120" s="2602"/>
      <c r="B120" s="2606"/>
      <c r="C120" s="936" t="s">
        <v>2545</v>
      </c>
      <c r="D120" s="702"/>
      <c r="E120" s="910"/>
      <c r="F120" s="911">
        <f t="shared" si="65"/>
        <v>0</v>
      </c>
      <c r="G120" s="1065"/>
      <c r="H120" s="1065"/>
      <c r="I120" s="1065"/>
      <c r="J120" s="1065"/>
      <c r="K120" s="1065"/>
      <c r="L120" s="1065"/>
      <c r="M120" s="1065"/>
      <c r="N120" s="1066"/>
    </row>
    <row r="121" spans="1:14" s="896" customFormat="1" ht="15" customHeight="1">
      <c r="A121" s="2602"/>
      <c r="B121" s="2607" t="s">
        <v>2546</v>
      </c>
      <c r="C121" s="701" t="s">
        <v>2628</v>
      </c>
      <c r="D121" s="702"/>
      <c r="E121" s="910"/>
      <c r="F121" s="911">
        <f t="shared" si="65"/>
        <v>0</v>
      </c>
      <c r="G121" s="1065"/>
      <c r="H121" s="1065"/>
      <c r="I121" s="1065"/>
      <c r="J121" s="1065"/>
      <c r="K121" s="1065"/>
      <c r="L121" s="1065"/>
      <c r="M121" s="1065"/>
      <c r="N121" s="1066"/>
    </row>
    <row r="122" spans="1:14" s="896" customFormat="1" ht="15" customHeight="1">
      <c r="A122" s="2602"/>
      <c r="B122" s="2605"/>
      <c r="C122" s="701" t="s">
        <v>2548</v>
      </c>
      <c r="D122" s="702"/>
      <c r="E122" s="910"/>
      <c r="F122" s="911">
        <f t="shared" si="65"/>
        <v>0</v>
      </c>
      <c r="G122" s="1065"/>
      <c r="H122" s="1065"/>
      <c r="I122" s="1065"/>
      <c r="J122" s="1065"/>
      <c r="K122" s="1065"/>
      <c r="L122" s="1065"/>
      <c r="M122" s="1065"/>
      <c r="N122" s="1066"/>
    </row>
    <row r="123" spans="1:14" s="896" customFormat="1" ht="15" customHeight="1">
      <c r="A123" s="2602"/>
      <c r="B123" s="2605"/>
      <c r="C123" s="702" t="s">
        <v>2549</v>
      </c>
      <c r="D123" s="702"/>
      <c r="E123" s="910"/>
      <c r="F123" s="911">
        <f t="shared" si="65"/>
        <v>5171700</v>
      </c>
      <c r="G123" s="1065">
        <v>3347200</v>
      </c>
      <c r="H123" s="1065"/>
      <c r="I123" s="1065">
        <v>338000</v>
      </c>
      <c r="J123" s="1065">
        <v>1086800</v>
      </c>
      <c r="K123" s="1065">
        <v>399700</v>
      </c>
      <c r="L123" s="1065"/>
      <c r="M123" s="1065"/>
      <c r="N123" s="1066"/>
    </row>
    <row r="124" spans="1:14" s="896" customFormat="1" ht="15" customHeight="1">
      <c r="A124" s="2602"/>
      <c r="B124" s="2605"/>
      <c r="C124" s="702" t="s">
        <v>2629</v>
      </c>
      <c r="D124" s="702"/>
      <c r="E124" s="910"/>
      <c r="F124" s="911"/>
      <c r="G124" s="912"/>
      <c r="H124" s="912"/>
      <c r="I124" s="912"/>
      <c r="J124" s="912"/>
      <c r="K124" s="912"/>
      <c r="L124" s="912"/>
      <c r="M124" s="912"/>
      <c r="N124" s="913"/>
    </row>
    <row r="125" spans="1:14" s="896" customFormat="1" ht="15" customHeight="1">
      <c r="A125" s="2602"/>
      <c r="B125" s="2605"/>
      <c r="C125" s="702" t="s">
        <v>2551</v>
      </c>
      <c r="D125" s="702"/>
      <c r="E125" s="910"/>
      <c r="F125" s="911"/>
      <c r="G125" s="912"/>
      <c r="H125" s="912"/>
      <c r="I125" s="912"/>
      <c r="J125" s="912"/>
      <c r="K125" s="912"/>
      <c r="L125" s="912"/>
      <c r="M125" s="912"/>
      <c r="N125" s="913"/>
    </row>
    <row r="126" spans="1:14" s="896" customFormat="1" ht="15" customHeight="1">
      <c r="A126" s="2602"/>
      <c r="B126" s="2605"/>
      <c r="C126" s="702" t="s">
        <v>2552</v>
      </c>
      <c r="D126" s="702"/>
      <c r="E126" s="910"/>
      <c r="F126" s="911">
        <f t="shared" ref="F126:F136" si="68">SUM(G126:N126)</f>
        <v>0</v>
      </c>
      <c r="G126" s="1065"/>
      <c r="H126" s="1065"/>
      <c r="I126" s="1065"/>
      <c r="J126" s="1065"/>
      <c r="K126" s="1065"/>
      <c r="L126" s="1065"/>
      <c r="M126" s="1065"/>
      <c r="N126" s="1066"/>
    </row>
    <row r="127" spans="1:14" s="896" customFormat="1" ht="15" customHeight="1">
      <c r="A127" s="2602"/>
      <c r="B127" s="2605"/>
      <c r="C127" s="937" t="s">
        <v>2553</v>
      </c>
      <c r="D127" s="702"/>
      <c r="E127" s="910"/>
      <c r="F127" s="911">
        <f t="shared" si="68"/>
        <v>0</v>
      </c>
      <c r="G127" s="1065"/>
      <c r="H127" s="1065"/>
      <c r="I127" s="1065"/>
      <c r="J127" s="1065"/>
      <c r="K127" s="1065"/>
      <c r="L127" s="1065"/>
      <c r="M127" s="1065"/>
      <c r="N127" s="1066"/>
    </row>
    <row r="128" spans="1:14" s="896" customFormat="1" ht="15" customHeight="1">
      <c r="A128" s="2602"/>
      <c r="B128" s="2605"/>
      <c r="C128" s="938" t="s">
        <v>2631</v>
      </c>
      <c r="D128" s="702"/>
      <c r="E128" s="910"/>
      <c r="F128" s="911">
        <f t="shared" si="68"/>
        <v>0</v>
      </c>
      <c r="G128" s="1065"/>
      <c r="H128" s="1065"/>
      <c r="I128" s="1065"/>
      <c r="J128" s="1065"/>
      <c r="K128" s="1065"/>
      <c r="L128" s="1065"/>
      <c r="M128" s="1065"/>
      <c r="N128" s="1066"/>
    </row>
    <row r="129" spans="1:14" s="896" customFormat="1" ht="15" customHeight="1">
      <c r="A129" s="2602"/>
      <c r="B129" s="2606"/>
      <c r="C129" s="702" t="s">
        <v>2555</v>
      </c>
      <c r="D129" s="702"/>
      <c r="E129" s="910"/>
      <c r="F129" s="911">
        <f t="shared" si="68"/>
        <v>0</v>
      </c>
      <c r="G129" s="1065"/>
      <c r="H129" s="1065"/>
      <c r="I129" s="1065"/>
      <c r="J129" s="1065"/>
      <c r="K129" s="1065"/>
      <c r="L129" s="1065"/>
      <c r="M129" s="1065"/>
      <c r="N129" s="1066"/>
    </row>
    <row r="130" spans="1:14" s="896" customFormat="1" ht="15" customHeight="1">
      <c r="A130" s="2602"/>
      <c r="B130" s="2607" t="s">
        <v>2556</v>
      </c>
      <c r="C130" s="936" t="s">
        <v>2557</v>
      </c>
      <c r="D130" s="702"/>
      <c r="E130" s="910"/>
      <c r="F130" s="911">
        <f t="shared" si="68"/>
        <v>471415</v>
      </c>
      <c r="G130" s="1065">
        <v>75152</v>
      </c>
      <c r="H130" s="1065">
        <v>10832</v>
      </c>
      <c r="I130" s="1065">
        <v>1593</v>
      </c>
      <c r="J130" s="1065">
        <v>383838</v>
      </c>
      <c r="K130" s="1065"/>
      <c r="L130" s="1065"/>
      <c r="M130" s="1065"/>
      <c r="N130" s="1066"/>
    </row>
    <row r="131" spans="1:14" s="896" customFormat="1" ht="15" customHeight="1">
      <c r="A131" s="2602"/>
      <c r="B131" s="2605"/>
      <c r="C131" s="936" t="s">
        <v>2558</v>
      </c>
      <c r="D131" s="702"/>
      <c r="E131" s="910"/>
      <c r="F131" s="911">
        <f t="shared" si="68"/>
        <v>0</v>
      </c>
      <c r="G131" s="912">
        <f t="shared" ref="G131:N131" si="69">+G100</f>
        <v>0</v>
      </c>
      <c r="H131" s="912">
        <f t="shared" si="69"/>
        <v>0</v>
      </c>
      <c r="I131" s="912">
        <f t="shared" si="69"/>
        <v>0</v>
      </c>
      <c r="J131" s="912">
        <f>+J100</f>
        <v>0</v>
      </c>
      <c r="K131" s="912">
        <f>+K100</f>
        <v>0</v>
      </c>
      <c r="L131" s="912">
        <f t="shared" si="69"/>
        <v>0</v>
      </c>
      <c r="M131" s="912">
        <f t="shared" si="69"/>
        <v>0</v>
      </c>
      <c r="N131" s="913">
        <f t="shared" si="69"/>
        <v>0</v>
      </c>
    </row>
    <row r="132" spans="1:14" s="896" customFormat="1" ht="15" customHeight="1">
      <c r="A132" s="2602"/>
      <c r="B132" s="2605"/>
      <c r="C132" s="702" t="s">
        <v>2559</v>
      </c>
      <c r="D132" s="702"/>
      <c r="E132" s="910"/>
      <c r="F132" s="911">
        <f t="shared" si="68"/>
        <v>0</v>
      </c>
      <c r="G132" s="912">
        <f>+G99</f>
        <v>0</v>
      </c>
      <c r="H132" s="912">
        <f t="shared" ref="H132:N132" si="70">+H99</f>
        <v>0</v>
      </c>
      <c r="I132" s="912">
        <f t="shared" si="70"/>
        <v>0</v>
      </c>
      <c r="J132" s="912">
        <f>+J99</f>
        <v>0</v>
      </c>
      <c r="K132" s="912">
        <f>+K99</f>
        <v>0</v>
      </c>
      <c r="L132" s="912">
        <f t="shared" si="70"/>
        <v>0</v>
      </c>
      <c r="M132" s="912">
        <f t="shared" si="70"/>
        <v>0</v>
      </c>
      <c r="N132" s="913">
        <f t="shared" si="70"/>
        <v>0</v>
      </c>
    </row>
    <row r="133" spans="1:14" s="896" customFormat="1" ht="15" customHeight="1">
      <c r="A133" s="2602"/>
      <c r="B133" s="2605"/>
      <c r="C133" s="702" t="s">
        <v>2560</v>
      </c>
      <c r="D133" s="702"/>
      <c r="E133" s="910"/>
      <c r="F133" s="911">
        <f t="shared" si="68"/>
        <v>0</v>
      </c>
      <c r="G133" s="1065"/>
      <c r="H133" s="1065"/>
      <c r="I133" s="1065"/>
      <c r="J133" s="1065"/>
      <c r="K133" s="1065"/>
      <c r="L133" s="1065"/>
      <c r="M133" s="1065"/>
      <c r="N133" s="1066"/>
    </row>
    <row r="134" spans="1:14" s="896" customFormat="1" ht="15" customHeight="1">
      <c r="A134" s="2602"/>
      <c r="B134" s="2605"/>
      <c r="C134" s="940" t="s">
        <v>2561</v>
      </c>
      <c r="D134" s="940"/>
      <c r="E134" s="941"/>
      <c r="F134" s="911">
        <f t="shared" si="68"/>
        <v>0</v>
      </c>
      <c r="G134" s="1095"/>
      <c r="H134" s="1095"/>
      <c r="I134" s="1095"/>
      <c r="J134" s="1095"/>
      <c r="K134" s="1095"/>
      <c r="L134" s="1095"/>
      <c r="M134" s="1095"/>
      <c r="N134" s="1096"/>
    </row>
    <row r="135" spans="1:14" s="896" customFormat="1" ht="15" customHeight="1">
      <c r="A135" s="2602"/>
      <c r="B135" s="2605"/>
      <c r="C135" s="940" t="s">
        <v>2562</v>
      </c>
      <c r="D135" s="940"/>
      <c r="E135" s="941"/>
      <c r="F135" s="911">
        <f t="shared" si="68"/>
        <v>0</v>
      </c>
      <c r="G135" s="1095"/>
      <c r="H135" s="1095"/>
      <c r="I135" s="1095"/>
      <c r="J135" s="1095"/>
      <c r="K135" s="1095"/>
      <c r="L135" s="1095"/>
      <c r="M135" s="1095"/>
      <c r="N135" s="1096"/>
    </row>
    <row r="136" spans="1:14" s="896" customFormat="1" ht="15" customHeight="1">
      <c r="A136" s="2603"/>
      <c r="B136" s="2608"/>
      <c r="C136" s="944" t="s">
        <v>2563</v>
      </c>
      <c r="D136" s="944"/>
      <c r="E136" s="945"/>
      <c r="F136" s="946">
        <f t="shared" si="68"/>
        <v>0</v>
      </c>
      <c r="G136" s="1097"/>
      <c r="H136" s="1097"/>
      <c r="I136" s="1097"/>
      <c r="J136" s="1097"/>
      <c r="K136" s="1097"/>
      <c r="L136" s="1097"/>
      <c r="M136" s="1097"/>
      <c r="N136" s="1098"/>
    </row>
    <row r="137" spans="1:14" s="896" customFormat="1" ht="15" hidden="1" customHeight="1">
      <c r="A137" s="1295"/>
      <c r="B137" s="1295"/>
      <c r="C137" s="1099" t="s">
        <v>2632</v>
      </c>
      <c r="D137" s="1099"/>
      <c r="E137" s="923"/>
      <c r="F137" s="1042"/>
      <c r="G137" s="1046"/>
      <c r="H137" s="1046"/>
      <c r="I137" s="1046"/>
      <c r="J137" s="1046"/>
      <c r="K137" s="1046"/>
      <c r="L137" s="1046"/>
      <c r="M137" s="1046"/>
      <c r="N137" s="1100" t="s">
        <v>2633</v>
      </c>
    </row>
    <row r="138" spans="1:14" s="896" customFormat="1" ht="15" hidden="1" customHeight="1">
      <c r="A138" s="1295"/>
      <c r="B138" s="1295"/>
      <c r="C138" s="930" t="s">
        <v>2634</v>
      </c>
      <c r="D138" s="930"/>
      <c r="E138" s="923"/>
      <c r="F138" s="1042"/>
      <c r="G138" s="1046"/>
      <c r="H138" s="1046"/>
      <c r="I138" s="1046"/>
      <c r="J138" s="1046"/>
      <c r="K138" s="1046"/>
      <c r="L138" s="1046"/>
      <c r="M138" s="1046"/>
      <c r="N138" s="1100"/>
    </row>
    <row r="139" spans="1:14" s="896" customFormat="1" ht="15" hidden="1" customHeight="1">
      <c r="A139" s="877"/>
      <c r="B139" s="878"/>
      <c r="C139" s="878"/>
      <c r="D139" s="2616" t="s">
        <v>2635</v>
      </c>
      <c r="E139" s="2616" t="s">
        <v>2636</v>
      </c>
      <c r="F139" s="1092" t="s">
        <v>2517</v>
      </c>
      <c r="G139" s="1093" t="str">
        <f t="shared" ref="G139:N139" si="71">+G86</f>
        <v>工事1</v>
      </c>
      <c r="H139" s="1093" t="str">
        <f t="shared" si="71"/>
        <v>工事2</v>
      </c>
      <c r="I139" s="1093" t="str">
        <f t="shared" si="71"/>
        <v>工事3</v>
      </c>
      <c r="J139" s="1093" t="str">
        <f t="shared" si="71"/>
        <v>工事4</v>
      </c>
      <c r="K139" s="1093" t="str">
        <f t="shared" si="71"/>
        <v>工事5</v>
      </c>
      <c r="L139" s="1093">
        <f t="shared" si="71"/>
        <v>0</v>
      </c>
      <c r="M139" s="1093">
        <f t="shared" si="71"/>
        <v>0</v>
      </c>
      <c r="N139" s="1094">
        <f t="shared" si="71"/>
        <v>0</v>
      </c>
    </row>
    <row r="140" spans="1:14" s="896" customFormat="1" ht="15" hidden="1" customHeight="1">
      <c r="A140" s="2618" t="s">
        <v>2637</v>
      </c>
      <c r="B140" s="2619"/>
      <c r="C140" s="2620"/>
      <c r="D140" s="2617"/>
      <c r="E140" s="2617"/>
      <c r="F140" s="1101"/>
      <c r="G140" s="1102"/>
      <c r="H140" s="1102"/>
      <c r="I140" s="1102"/>
      <c r="J140" s="1102"/>
      <c r="K140" s="1102"/>
      <c r="L140" s="1102"/>
      <c r="M140" s="1102"/>
      <c r="N140" s="1103"/>
    </row>
    <row r="141" spans="1:14" s="896" customFormat="1" ht="15" hidden="1" customHeight="1">
      <c r="A141" s="2621"/>
      <c r="B141" s="1104" t="s">
        <v>2638</v>
      </c>
      <c r="C141" s="1105"/>
      <c r="D141" s="1106"/>
      <c r="E141" s="1107"/>
      <c r="F141" s="1108">
        <f t="shared" ref="F141:F148" si="72">SUM(G141:N141)</f>
        <v>165356055</v>
      </c>
      <c r="G141" s="1109">
        <f>SUM(G117:G129)+G133</f>
        <v>29140135</v>
      </c>
      <c r="H141" s="1109">
        <f t="shared" ref="H141:N141" si="73">SUM(H117:H129)+H133</f>
        <v>21544814</v>
      </c>
      <c r="I141" s="1109">
        <f t="shared" si="73"/>
        <v>2050888</v>
      </c>
      <c r="J141" s="1109">
        <f t="shared" si="73"/>
        <v>102828658</v>
      </c>
      <c r="K141" s="1109">
        <f t="shared" si="73"/>
        <v>9791560</v>
      </c>
      <c r="L141" s="1109">
        <f t="shared" si="73"/>
        <v>0</v>
      </c>
      <c r="M141" s="1109">
        <f t="shared" si="73"/>
        <v>0</v>
      </c>
      <c r="N141" s="1109">
        <f t="shared" si="73"/>
        <v>0</v>
      </c>
    </row>
    <row r="142" spans="1:14" s="896" customFormat="1" ht="15" hidden="1" customHeight="1">
      <c r="A142" s="2622"/>
      <c r="B142" s="2607" t="s">
        <v>2541</v>
      </c>
      <c r="C142" s="1110" t="s">
        <v>2542</v>
      </c>
      <c r="D142" s="1111">
        <v>1</v>
      </c>
      <c r="E142" s="1112" t="s">
        <v>2639</v>
      </c>
      <c r="F142" s="911">
        <f t="shared" si="72"/>
        <v>0</v>
      </c>
      <c r="G142" s="912">
        <f t="shared" ref="G142:N142" si="74">IF(G88="積上げ",0,+G117)</f>
        <v>0</v>
      </c>
      <c r="H142" s="912">
        <f t="shared" si="74"/>
        <v>0</v>
      </c>
      <c r="I142" s="912">
        <f t="shared" si="74"/>
        <v>0</v>
      </c>
      <c r="J142" s="912">
        <f t="shared" si="74"/>
        <v>0</v>
      </c>
      <c r="K142" s="912">
        <f t="shared" si="74"/>
        <v>0</v>
      </c>
      <c r="L142" s="912">
        <f t="shared" si="74"/>
        <v>0</v>
      </c>
      <c r="M142" s="912">
        <f t="shared" si="74"/>
        <v>0</v>
      </c>
      <c r="N142" s="912">
        <f t="shared" si="74"/>
        <v>0</v>
      </c>
    </row>
    <row r="143" spans="1:14" s="896" customFormat="1" ht="15" hidden="1" customHeight="1">
      <c r="A143" s="2622"/>
      <c r="B143" s="2605"/>
      <c r="C143" s="1110" t="s">
        <v>2543</v>
      </c>
      <c r="D143" s="1111">
        <v>1</v>
      </c>
      <c r="E143" s="1112" t="s">
        <v>2639</v>
      </c>
      <c r="F143" s="911">
        <f t="shared" si="72"/>
        <v>160184355</v>
      </c>
      <c r="G143" s="912">
        <f t="shared" ref="G143:N143" si="75">IF(G88="積上げ",0,+G118)</f>
        <v>25792935</v>
      </c>
      <c r="H143" s="912">
        <f t="shared" si="75"/>
        <v>21544814</v>
      </c>
      <c r="I143" s="912">
        <f t="shared" si="75"/>
        <v>1712888</v>
      </c>
      <c r="J143" s="912">
        <f t="shared" si="75"/>
        <v>101741858</v>
      </c>
      <c r="K143" s="912">
        <f t="shared" si="75"/>
        <v>9391860</v>
      </c>
      <c r="L143" s="912">
        <f t="shared" si="75"/>
        <v>0</v>
      </c>
      <c r="M143" s="912">
        <f t="shared" si="75"/>
        <v>0</v>
      </c>
      <c r="N143" s="912">
        <f t="shared" si="75"/>
        <v>0</v>
      </c>
    </row>
    <row r="144" spans="1:14" s="896" customFormat="1" ht="15" hidden="1" customHeight="1">
      <c r="A144" s="2622"/>
      <c r="B144" s="2605"/>
      <c r="C144" s="1110" t="s">
        <v>2640</v>
      </c>
      <c r="D144" s="1111">
        <v>0.9</v>
      </c>
      <c r="E144" s="1112" t="s">
        <v>2639</v>
      </c>
      <c r="F144" s="911">
        <f t="shared" si="72"/>
        <v>0</v>
      </c>
      <c r="G144" s="912">
        <f t="shared" ref="G144:N144" si="76">IF(G88="積上げ",0,+G119)</f>
        <v>0</v>
      </c>
      <c r="H144" s="912">
        <f t="shared" si="76"/>
        <v>0</v>
      </c>
      <c r="I144" s="912">
        <f t="shared" si="76"/>
        <v>0</v>
      </c>
      <c r="J144" s="912">
        <f t="shared" si="76"/>
        <v>0</v>
      </c>
      <c r="K144" s="912">
        <f t="shared" si="76"/>
        <v>0</v>
      </c>
      <c r="L144" s="912">
        <f t="shared" si="76"/>
        <v>0</v>
      </c>
      <c r="M144" s="912">
        <f t="shared" si="76"/>
        <v>0</v>
      </c>
      <c r="N144" s="912">
        <f t="shared" si="76"/>
        <v>0</v>
      </c>
    </row>
    <row r="145" spans="1:14" s="896" customFormat="1" ht="15" hidden="1" customHeight="1">
      <c r="A145" s="2622"/>
      <c r="B145" s="2606"/>
      <c r="C145" s="1110" t="s">
        <v>2641</v>
      </c>
      <c r="D145" s="1111">
        <v>0.9</v>
      </c>
      <c r="E145" s="1112" t="s">
        <v>2639</v>
      </c>
      <c r="F145" s="911">
        <f t="shared" si="72"/>
        <v>0</v>
      </c>
      <c r="G145" s="912">
        <f t="shared" ref="G145:N145" si="77">IF(G88="積上げ",0,+G120)</f>
        <v>0</v>
      </c>
      <c r="H145" s="912">
        <f t="shared" si="77"/>
        <v>0</v>
      </c>
      <c r="I145" s="912">
        <f t="shared" si="77"/>
        <v>0</v>
      </c>
      <c r="J145" s="912">
        <f t="shared" si="77"/>
        <v>0</v>
      </c>
      <c r="K145" s="912">
        <f t="shared" si="77"/>
        <v>0</v>
      </c>
      <c r="L145" s="912">
        <f t="shared" si="77"/>
        <v>0</v>
      </c>
      <c r="M145" s="912">
        <f t="shared" si="77"/>
        <v>0</v>
      </c>
      <c r="N145" s="912">
        <f t="shared" si="77"/>
        <v>0</v>
      </c>
    </row>
    <row r="146" spans="1:14" s="896" customFormat="1" ht="15" hidden="1" customHeight="1">
      <c r="A146" s="2622"/>
      <c r="B146" s="2607" t="s">
        <v>2546</v>
      </c>
      <c r="C146" s="1110" t="s">
        <v>2642</v>
      </c>
      <c r="D146" s="1111">
        <v>1</v>
      </c>
      <c r="E146" s="1113">
        <v>0.01</v>
      </c>
      <c r="F146" s="911">
        <f t="shared" si="72"/>
        <v>0</v>
      </c>
      <c r="G146" s="912">
        <f t="shared" ref="G146:N146" si="78">IF(G88="積上げ",0,+G121)</f>
        <v>0</v>
      </c>
      <c r="H146" s="912">
        <f t="shared" si="78"/>
        <v>0</v>
      </c>
      <c r="I146" s="912">
        <f t="shared" si="78"/>
        <v>0</v>
      </c>
      <c r="J146" s="912">
        <f t="shared" si="78"/>
        <v>0</v>
      </c>
      <c r="K146" s="912">
        <f t="shared" si="78"/>
        <v>0</v>
      </c>
      <c r="L146" s="912">
        <f t="shared" si="78"/>
        <v>0</v>
      </c>
      <c r="M146" s="912">
        <f t="shared" si="78"/>
        <v>0</v>
      </c>
      <c r="N146" s="912">
        <f t="shared" si="78"/>
        <v>0</v>
      </c>
    </row>
    <row r="147" spans="1:14" s="896" customFormat="1" ht="15" hidden="1" customHeight="1">
      <c r="A147" s="2622"/>
      <c r="B147" s="2605"/>
      <c r="C147" s="1110" t="s">
        <v>2643</v>
      </c>
      <c r="D147" s="1111">
        <v>1</v>
      </c>
      <c r="E147" s="1113">
        <v>0.01</v>
      </c>
      <c r="F147" s="911">
        <f t="shared" si="72"/>
        <v>0</v>
      </c>
      <c r="G147" s="912">
        <f t="shared" ref="G147:N147" si="79">IF(G88="積上げ",0,G122)</f>
        <v>0</v>
      </c>
      <c r="H147" s="912">
        <f t="shared" si="79"/>
        <v>0</v>
      </c>
      <c r="I147" s="912">
        <f t="shared" si="79"/>
        <v>0</v>
      </c>
      <c r="J147" s="912">
        <f t="shared" si="79"/>
        <v>0</v>
      </c>
      <c r="K147" s="912">
        <f t="shared" si="79"/>
        <v>0</v>
      </c>
      <c r="L147" s="912">
        <f t="shared" si="79"/>
        <v>0</v>
      </c>
      <c r="M147" s="912">
        <f t="shared" si="79"/>
        <v>0</v>
      </c>
      <c r="N147" s="912">
        <f t="shared" si="79"/>
        <v>0</v>
      </c>
    </row>
    <row r="148" spans="1:14" s="896" customFormat="1" ht="15" hidden="1" customHeight="1">
      <c r="A148" s="2622"/>
      <c r="B148" s="2605"/>
      <c r="C148" s="1110" t="s">
        <v>2549</v>
      </c>
      <c r="D148" s="1111">
        <v>1</v>
      </c>
      <c r="E148" s="1113">
        <v>0.01</v>
      </c>
      <c r="F148" s="911">
        <f t="shared" si="72"/>
        <v>5171700</v>
      </c>
      <c r="G148" s="912">
        <f t="shared" ref="G148:N148" si="80">IF(G88="積上げ",0,G123)</f>
        <v>3347200</v>
      </c>
      <c r="H148" s="912">
        <f t="shared" si="80"/>
        <v>0</v>
      </c>
      <c r="I148" s="912">
        <f t="shared" si="80"/>
        <v>338000</v>
      </c>
      <c r="J148" s="912">
        <f t="shared" si="80"/>
        <v>1086800</v>
      </c>
      <c r="K148" s="912">
        <f t="shared" si="80"/>
        <v>399700</v>
      </c>
      <c r="L148" s="912">
        <f t="shared" si="80"/>
        <v>0</v>
      </c>
      <c r="M148" s="912">
        <f t="shared" si="80"/>
        <v>0</v>
      </c>
      <c r="N148" s="912">
        <f t="shared" si="80"/>
        <v>0</v>
      </c>
    </row>
    <row r="149" spans="1:14" s="896" customFormat="1" ht="14.25" hidden="1" customHeight="1">
      <c r="A149" s="2622"/>
      <c r="B149" s="2605"/>
      <c r="C149" s="1110" t="s">
        <v>2629</v>
      </c>
      <c r="D149" s="1111"/>
      <c r="E149" s="1113"/>
      <c r="F149" s="911"/>
      <c r="G149" s="912"/>
      <c r="H149" s="912"/>
      <c r="I149" s="912"/>
      <c r="J149" s="912"/>
      <c r="K149" s="912"/>
      <c r="L149" s="912"/>
      <c r="M149" s="912"/>
      <c r="N149" s="912"/>
    </row>
    <row r="150" spans="1:14" s="896" customFormat="1" ht="14.25" hidden="1" customHeight="1">
      <c r="A150" s="2622"/>
      <c r="B150" s="2605"/>
      <c r="C150" s="1110" t="s">
        <v>2551</v>
      </c>
      <c r="D150" s="1111"/>
      <c r="E150" s="1113"/>
      <c r="F150" s="911"/>
      <c r="G150" s="912"/>
      <c r="H150" s="912"/>
      <c r="I150" s="912"/>
      <c r="J150" s="912"/>
      <c r="K150" s="912"/>
      <c r="L150" s="912"/>
      <c r="M150" s="912"/>
      <c r="N150" s="912"/>
    </row>
    <row r="151" spans="1:14" s="896" customFormat="1" ht="15" hidden="1" customHeight="1">
      <c r="A151" s="2622"/>
      <c r="B151" s="2605"/>
      <c r="C151" s="1110" t="s">
        <v>2552</v>
      </c>
      <c r="D151" s="1111">
        <v>1</v>
      </c>
      <c r="E151" s="1113">
        <v>0.01</v>
      </c>
      <c r="F151" s="911">
        <f>SUM(G151:N151)</f>
        <v>0</v>
      </c>
      <c r="G151" s="912">
        <f t="shared" ref="G151:N151" si="81">IF(G88="積上げ",0,+G126)</f>
        <v>0</v>
      </c>
      <c r="H151" s="912">
        <f t="shared" si="81"/>
        <v>0</v>
      </c>
      <c r="I151" s="912">
        <f t="shared" si="81"/>
        <v>0</v>
      </c>
      <c r="J151" s="912">
        <f t="shared" si="81"/>
        <v>0</v>
      </c>
      <c r="K151" s="912">
        <f t="shared" si="81"/>
        <v>0</v>
      </c>
      <c r="L151" s="912">
        <f t="shared" si="81"/>
        <v>0</v>
      </c>
      <c r="M151" s="912">
        <f t="shared" si="81"/>
        <v>0</v>
      </c>
      <c r="N151" s="912">
        <f t="shared" si="81"/>
        <v>0</v>
      </c>
    </row>
    <row r="152" spans="1:14" s="896" customFormat="1" ht="15" hidden="1" customHeight="1">
      <c r="A152" s="2622"/>
      <c r="B152" s="2605"/>
      <c r="C152" s="1114" t="s">
        <v>2553</v>
      </c>
      <c r="D152" s="1111">
        <v>1</v>
      </c>
      <c r="E152" s="1113">
        <v>0.01</v>
      </c>
      <c r="F152" s="911">
        <f>SUM(G152:N152)</f>
        <v>0</v>
      </c>
      <c r="G152" s="912">
        <f t="shared" ref="G152:N152" si="82">IF(G88="積上げ",0,+G127)</f>
        <v>0</v>
      </c>
      <c r="H152" s="912">
        <f t="shared" si="82"/>
        <v>0</v>
      </c>
      <c r="I152" s="912">
        <f t="shared" si="82"/>
        <v>0</v>
      </c>
      <c r="J152" s="912">
        <f t="shared" si="82"/>
        <v>0</v>
      </c>
      <c r="K152" s="912">
        <f t="shared" si="82"/>
        <v>0</v>
      </c>
      <c r="L152" s="912">
        <f t="shared" si="82"/>
        <v>0</v>
      </c>
      <c r="M152" s="912">
        <f t="shared" si="82"/>
        <v>0</v>
      </c>
      <c r="N152" s="912">
        <f t="shared" si="82"/>
        <v>0</v>
      </c>
    </row>
    <row r="153" spans="1:14" s="896" customFormat="1" ht="15" hidden="1" customHeight="1">
      <c r="A153" s="2622"/>
      <c r="B153" s="2605"/>
      <c r="C153" s="1114" t="s">
        <v>2631</v>
      </c>
      <c r="D153" s="1111">
        <v>1</v>
      </c>
      <c r="E153" s="1113">
        <v>0.01</v>
      </c>
      <c r="F153" s="911">
        <f>SUM(G153:N153)</f>
        <v>0</v>
      </c>
      <c r="G153" s="912">
        <f t="shared" ref="G153:N153" si="83">IF(G88="積上げ",0,+G128)</f>
        <v>0</v>
      </c>
      <c r="H153" s="912">
        <f t="shared" si="83"/>
        <v>0</v>
      </c>
      <c r="I153" s="912">
        <f t="shared" si="83"/>
        <v>0</v>
      </c>
      <c r="J153" s="912">
        <f t="shared" si="83"/>
        <v>0</v>
      </c>
      <c r="K153" s="912">
        <f t="shared" si="83"/>
        <v>0</v>
      </c>
      <c r="L153" s="912">
        <f t="shared" si="83"/>
        <v>0</v>
      </c>
      <c r="M153" s="912">
        <f t="shared" si="83"/>
        <v>0</v>
      </c>
      <c r="N153" s="912">
        <f t="shared" si="83"/>
        <v>0</v>
      </c>
    </row>
    <row r="154" spans="1:14" s="896" customFormat="1" ht="15" hidden="1" customHeight="1">
      <c r="A154" s="2622"/>
      <c r="B154" s="2606"/>
      <c r="C154" s="1110" t="s">
        <v>2555</v>
      </c>
      <c r="D154" s="1111">
        <v>1</v>
      </c>
      <c r="E154" s="1113">
        <v>0.01</v>
      </c>
      <c r="F154" s="911">
        <f>SUM(G154:N154)</f>
        <v>0</v>
      </c>
      <c r="G154" s="912">
        <f t="shared" ref="G154:N154" si="84">IF(G88="積上げ",0,+G129)</f>
        <v>0</v>
      </c>
      <c r="H154" s="912">
        <f t="shared" si="84"/>
        <v>0</v>
      </c>
      <c r="I154" s="912">
        <f t="shared" si="84"/>
        <v>0</v>
      </c>
      <c r="J154" s="912">
        <f t="shared" si="84"/>
        <v>0</v>
      </c>
      <c r="K154" s="912">
        <f t="shared" si="84"/>
        <v>0</v>
      </c>
      <c r="L154" s="912">
        <f t="shared" si="84"/>
        <v>0</v>
      </c>
      <c r="M154" s="912">
        <f t="shared" si="84"/>
        <v>0</v>
      </c>
      <c r="N154" s="912">
        <f t="shared" si="84"/>
        <v>0</v>
      </c>
    </row>
    <row r="155" spans="1:14" s="896" customFormat="1" ht="15" hidden="1" customHeight="1">
      <c r="A155" s="2623"/>
      <c r="B155" s="1115" t="s">
        <v>2644</v>
      </c>
      <c r="C155" s="1116" t="s">
        <v>2645</v>
      </c>
      <c r="D155" s="1117">
        <v>1</v>
      </c>
      <c r="E155" s="1118">
        <v>0</v>
      </c>
      <c r="F155" s="946">
        <f>SUM(G155:N155)</f>
        <v>471415</v>
      </c>
      <c r="G155" s="1073">
        <f t="shared" ref="G155:N155" si="85">IF(G88="積上げ",0,SUM(G133:G136)+G130)</f>
        <v>75152</v>
      </c>
      <c r="H155" s="1073">
        <f t="shared" si="85"/>
        <v>10832</v>
      </c>
      <c r="I155" s="1073">
        <f t="shared" si="85"/>
        <v>1593</v>
      </c>
      <c r="J155" s="1073">
        <f t="shared" si="85"/>
        <v>383838</v>
      </c>
      <c r="K155" s="1073">
        <f t="shared" si="85"/>
        <v>0</v>
      </c>
      <c r="L155" s="1073">
        <f t="shared" si="85"/>
        <v>0</v>
      </c>
      <c r="M155" s="1073">
        <f t="shared" si="85"/>
        <v>0</v>
      </c>
      <c r="N155" s="1073">
        <f t="shared" si="85"/>
        <v>0</v>
      </c>
    </row>
    <row r="156" spans="1:14" s="896" customFormat="1" ht="15" hidden="1" customHeight="1">
      <c r="A156" s="1119"/>
      <c r="B156" s="1120"/>
      <c r="C156" s="1121"/>
      <c r="D156" s="2624"/>
      <c r="E156" s="2624"/>
      <c r="F156" s="1108"/>
      <c r="G156" s="1109"/>
      <c r="H156" s="1109"/>
      <c r="I156" s="1109"/>
      <c r="J156" s="1109"/>
      <c r="K156" s="1109"/>
      <c r="L156" s="1109"/>
      <c r="M156" s="1109"/>
      <c r="N156" s="1122"/>
    </row>
    <row r="157" spans="1:14" s="896" customFormat="1" ht="15" hidden="1" customHeight="1">
      <c r="A157" s="2618" t="s">
        <v>2646</v>
      </c>
      <c r="B157" s="2619"/>
      <c r="C157" s="2620"/>
      <c r="D157" s="2625"/>
      <c r="E157" s="2625"/>
      <c r="F157" s="1101"/>
      <c r="G157" s="1102"/>
      <c r="H157" s="1102"/>
      <c r="I157" s="1102"/>
      <c r="J157" s="1102"/>
      <c r="K157" s="1102"/>
      <c r="L157" s="1102"/>
      <c r="M157" s="1102"/>
      <c r="N157" s="1103"/>
    </row>
    <row r="158" spans="1:14" s="896" customFormat="1" ht="15" hidden="1" customHeight="1">
      <c r="A158" s="2621"/>
      <c r="B158" s="2604" t="s">
        <v>2541</v>
      </c>
      <c r="C158" s="1123" t="s">
        <v>2542</v>
      </c>
      <c r="D158" s="1124"/>
      <c r="E158" s="1125" t="s">
        <v>2639</v>
      </c>
      <c r="F158" s="1126" t="s">
        <v>2647</v>
      </c>
      <c r="G158" s="1127">
        <f t="shared" ref="G158:N158" si="86">IF(G142=0,0,IF(G90="有り",+G264/100,G265/100))</f>
        <v>0</v>
      </c>
      <c r="H158" s="1127">
        <f t="shared" si="86"/>
        <v>0</v>
      </c>
      <c r="I158" s="1127">
        <f t="shared" si="86"/>
        <v>0</v>
      </c>
      <c r="J158" s="1127">
        <f t="shared" si="86"/>
        <v>0</v>
      </c>
      <c r="K158" s="1127">
        <f t="shared" si="86"/>
        <v>0</v>
      </c>
      <c r="L158" s="1127">
        <f t="shared" si="86"/>
        <v>0</v>
      </c>
      <c r="M158" s="1127">
        <f t="shared" si="86"/>
        <v>0</v>
      </c>
      <c r="N158" s="1128">
        <f t="shared" si="86"/>
        <v>0</v>
      </c>
    </row>
    <row r="159" spans="1:14" s="896" customFormat="1" ht="15" hidden="1" customHeight="1">
      <c r="A159" s="2622"/>
      <c r="B159" s="2605"/>
      <c r="C159" s="1129"/>
      <c r="D159" s="1130">
        <f>+D142</f>
        <v>1</v>
      </c>
      <c r="E159" s="1131" t="s">
        <v>2639</v>
      </c>
      <c r="F159" s="1064">
        <f>SUM(G159:N159)</f>
        <v>0</v>
      </c>
      <c r="G159" s="1080">
        <f>ROUNDDOWN(G142*G158*$D159,0)</f>
        <v>0</v>
      </c>
      <c r="H159" s="1080">
        <f t="shared" ref="H159:N159" si="87">ROUNDDOWN(H142*H158*$D159,0)</f>
        <v>0</v>
      </c>
      <c r="I159" s="1080">
        <f t="shared" si="87"/>
        <v>0</v>
      </c>
      <c r="J159" s="1080">
        <f t="shared" si="87"/>
        <v>0</v>
      </c>
      <c r="K159" s="1080">
        <f>ROUNDDOWN(K142*K158*$D159,0)</f>
        <v>0</v>
      </c>
      <c r="L159" s="1080">
        <f t="shared" si="87"/>
        <v>0</v>
      </c>
      <c r="M159" s="1080">
        <f t="shared" si="87"/>
        <v>0</v>
      </c>
      <c r="N159" s="1081">
        <f t="shared" si="87"/>
        <v>0</v>
      </c>
    </row>
    <row r="160" spans="1:14" s="896" customFormat="1" ht="15" hidden="1" customHeight="1">
      <c r="A160" s="2622"/>
      <c r="B160" s="2605"/>
      <c r="C160" s="1132" t="s">
        <v>2543</v>
      </c>
      <c r="D160" s="1133"/>
      <c r="E160" s="1131" t="s">
        <v>2639</v>
      </c>
      <c r="F160" s="1134" t="s">
        <v>2647</v>
      </c>
      <c r="G160" s="1135">
        <f t="shared" ref="G160:N160" si="88">IF(G143=0,0,IF(G90="有り",G273/100,+G274/100))</f>
        <v>3.2400000000000005E-2</v>
      </c>
      <c r="H160" s="1135">
        <f t="shared" si="88"/>
        <v>2.8999999999999998E-2</v>
      </c>
      <c r="I160" s="1135">
        <f t="shared" si="88"/>
        <v>3.2400000000000005E-2</v>
      </c>
      <c r="J160" s="1135">
        <f t="shared" si="88"/>
        <v>3.2400000000000005E-2</v>
      </c>
      <c r="K160" s="1135">
        <f t="shared" si="88"/>
        <v>3.2400000000000005E-2</v>
      </c>
      <c r="L160" s="1135">
        <f t="shared" si="88"/>
        <v>0</v>
      </c>
      <c r="M160" s="1135">
        <f t="shared" si="88"/>
        <v>0</v>
      </c>
      <c r="N160" s="1136">
        <f t="shared" si="88"/>
        <v>0</v>
      </c>
    </row>
    <row r="161" spans="1:14" s="896" customFormat="1" ht="15" hidden="1" customHeight="1">
      <c r="A161" s="2622"/>
      <c r="B161" s="2605"/>
      <c r="C161" s="1129"/>
      <c r="D161" s="1137">
        <f t="shared" ref="D161:D166" si="89">+D143</f>
        <v>1</v>
      </c>
      <c r="E161" s="1131" t="s">
        <v>2639</v>
      </c>
      <c r="F161" s="1064">
        <f>SUM(G161:N161)</f>
        <v>5116719</v>
      </c>
      <c r="G161" s="1080">
        <f>ROUNDDOWN(G143*G160*$D161,0)</f>
        <v>835691</v>
      </c>
      <c r="H161" s="1080">
        <f t="shared" ref="H161:N161" si="90">ROUNDDOWN(H143*H160*$D161,0)</f>
        <v>624799</v>
      </c>
      <c r="I161" s="1080">
        <f t="shared" si="90"/>
        <v>55497</v>
      </c>
      <c r="J161" s="1080">
        <f t="shared" si="90"/>
        <v>3296436</v>
      </c>
      <c r="K161" s="1080">
        <f>ROUNDDOWN(K143*K160*$D161,0)</f>
        <v>304296</v>
      </c>
      <c r="L161" s="1080">
        <f t="shared" si="90"/>
        <v>0</v>
      </c>
      <c r="M161" s="1080">
        <f t="shared" si="90"/>
        <v>0</v>
      </c>
      <c r="N161" s="1081">
        <f t="shared" si="90"/>
        <v>0</v>
      </c>
    </row>
    <row r="162" spans="1:14" s="896" customFormat="1" ht="15" hidden="1" customHeight="1">
      <c r="A162" s="2622"/>
      <c r="B162" s="2605"/>
      <c r="C162" s="1110" t="s">
        <v>2565</v>
      </c>
      <c r="D162" s="1138">
        <v>0.9</v>
      </c>
      <c r="E162" s="1131" t="s">
        <v>2639</v>
      </c>
      <c r="F162" s="1064">
        <f>SUM(G162:N162)</f>
        <v>0</v>
      </c>
      <c r="G162" s="1080">
        <f>ROUNDDOWN(G144*G158*$D162,0)</f>
        <v>0</v>
      </c>
      <c r="H162" s="1080">
        <f t="shared" ref="H162:N162" si="91">ROUNDDOWN(H144*H158*$D162,0)</f>
        <v>0</v>
      </c>
      <c r="I162" s="1080">
        <f t="shared" si="91"/>
        <v>0</v>
      </c>
      <c r="J162" s="1080">
        <f t="shared" si="91"/>
        <v>0</v>
      </c>
      <c r="K162" s="1080">
        <f>ROUNDDOWN(K144*K158*$D162,0)</f>
        <v>0</v>
      </c>
      <c r="L162" s="1080">
        <f t="shared" si="91"/>
        <v>0</v>
      </c>
      <c r="M162" s="1080">
        <f t="shared" si="91"/>
        <v>0</v>
      </c>
      <c r="N162" s="1081">
        <f t="shared" si="91"/>
        <v>0</v>
      </c>
    </row>
    <row r="163" spans="1:14" s="896" customFormat="1" ht="15" hidden="1" customHeight="1">
      <c r="A163" s="2622"/>
      <c r="B163" s="2606"/>
      <c r="C163" s="1110" t="s">
        <v>2566</v>
      </c>
      <c r="D163" s="1138">
        <v>0.9</v>
      </c>
      <c r="E163" s="1131" t="s">
        <v>2639</v>
      </c>
      <c r="F163" s="1064">
        <f>SUM(G163:N163)</f>
        <v>0</v>
      </c>
      <c r="G163" s="1080">
        <f>ROUNDDOWN(G145*G160*$D163,0)</f>
        <v>0</v>
      </c>
      <c r="H163" s="1080">
        <f t="shared" ref="H163:N163" si="92">ROUNDDOWN(H145*H160*$D163,0)</f>
        <v>0</v>
      </c>
      <c r="I163" s="1080">
        <f t="shared" si="92"/>
        <v>0</v>
      </c>
      <c r="J163" s="1080">
        <f t="shared" si="92"/>
        <v>0</v>
      </c>
      <c r="K163" s="1080">
        <f>ROUNDDOWN(K145*K160*$D163,0)</f>
        <v>0</v>
      </c>
      <c r="L163" s="1080">
        <f t="shared" si="92"/>
        <v>0</v>
      </c>
      <c r="M163" s="1080">
        <f t="shared" si="92"/>
        <v>0</v>
      </c>
      <c r="N163" s="1081">
        <f t="shared" si="92"/>
        <v>0</v>
      </c>
    </row>
    <row r="164" spans="1:14" s="896" customFormat="1" ht="15" hidden="1" customHeight="1">
      <c r="A164" s="2622"/>
      <c r="B164" s="2607" t="s">
        <v>2546</v>
      </c>
      <c r="C164" s="1110" t="s">
        <v>2642</v>
      </c>
      <c r="D164" s="1138">
        <f>+D146</f>
        <v>1</v>
      </c>
      <c r="E164" s="1113">
        <f>+E146</f>
        <v>0.01</v>
      </c>
      <c r="F164" s="911">
        <v>0</v>
      </c>
      <c r="G164" s="1080">
        <f t="shared" ref="G164:N173" si="93">ROUNDDOWN(G146*$E164*$D164,0)</f>
        <v>0</v>
      </c>
      <c r="H164" s="1080">
        <f t="shared" si="93"/>
        <v>0</v>
      </c>
      <c r="I164" s="1080">
        <f t="shared" si="93"/>
        <v>0</v>
      </c>
      <c r="J164" s="1080">
        <f t="shared" si="93"/>
        <v>0</v>
      </c>
      <c r="K164" s="1080">
        <f t="shared" si="93"/>
        <v>0</v>
      </c>
      <c r="L164" s="1080">
        <f t="shared" si="93"/>
        <v>0</v>
      </c>
      <c r="M164" s="1080">
        <f t="shared" si="93"/>
        <v>0</v>
      </c>
      <c r="N164" s="1080">
        <f t="shared" si="93"/>
        <v>0</v>
      </c>
    </row>
    <row r="165" spans="1:14" s="896" customFormat="1" ht="15" hidden="1" customHeight="1">
      <c r="A165" s="2622"/>
      <c r="B165" s="2605"/>
      <c r="C165" s="1110" t="s">
        <v>2648</v>
      </c>
      <c r="D165" s="1138">
        <f t="shared" si="89"/>
        <v>1</v>
      </c>
      <c r="E165" s="1113">
        <f>+E147</f>
        <v>0.01</v>
      </c>
      <c r="F165" s="911">
        <v>0</v>
      </c>
      <c r="G165" s="1080">
        <f t="shared" si="93"/>
        <v>0</v>
      </c>
      <c r="H165" s="1080">
        <f t="shared" si="93"/>
        <v>0</v>
      </c>
      <c r="I165" s="1080">
        <f t="shared" si="93"/>
        <v>0</v>
      </c>
      <c r="J165" s="1080">
        <f t="shared" si="93"/>
        <v>0</v>
      </c>
      <c r="K165" s="1080">
        <f t="shared" si="93"/>
        <v>0</v>
      </c>
      <c r="L165" s="1080">
        <f t="shared" si="93"/>
        <v>0</v>
      </c>
      <c r="M165" s="1080">
        <f t="shared" si="93"/>
        <v>0</v>
      </c>
      <c r="N165" s="1080">
        <f t="shared" si="93"/>
        <v>0</v>
      </c>
    </row>
    <row r="166" spans="1:14" s="896" customFormat="1" ht="15" hidden="1" customHeight="1">
      <c r="A166" s="2622"/>
      <c r="B166" s="2605"/>
      <c r="C166" s="1110" t="s">
        <v>2549</v>
      </c>
      <c r="D166" s="1138">
        <f t="shared" si="89"/>
        <v>1</v>
      </c>
      <c r="E166" s="1113">
        <f>+E148</f>
        <v>0.01</v>
      </c>
      <c r="F166" s="911">
        <v>0</v>
      </c>
      <c r="G166" s="1080">
        <f t="shared" si="93"/>
        <v>33472</v>
      </c>
      <c r="H166" s="1080">
        <f t="shared" si="93"/>
        <v>0</v>
      </c>
      <c r="I166" s="1080">
        <f t="shared" si="93"/>
        <v>3380</v>
      </c>
      <c r="J166" s="1080">
        <f t="shared" si="93"/>
        <v>10868</v>
      </c>
      <c r="K166" s="1080">
        <f t="shared" si="93"/>
        <v>3997</v>
      </c>
      <c r="L166" s="1080">
        <f t="shared" si="93"/>
        <v>0</v>
      </c>
      <c r="M166" s="1080">
        <f t="shared" si="93"/>
        <v>0</v>
      </c>
      <c r="N166" s="1080">
        <f t="shared" si="93"/>
        <v>0</v>
      </c>
    </row>
    <row r="167" spans="1:14" s="896" customFormat="1" ht="15" hidden="1" customHeight="1">
      <c r="A167" s="2622"/>
      <c r="B167" s="2605"/>
      <c r="C167" s="1110" t="s">
        <v>2649</v>
      </c>
      <c r="D167" s="1138"/>
      <c r="E167" s="1113"/>
      <c r="F167" s="911"/>
      <c r="G167" s="1080"/>
      <c r="H167" s="1080"/>
      <c r="I167" s="1080"/>
      <c r="J167" s="1080"/>
      <c r="K167" s="1080"/>
      <c r="L167" s="1080"/>
      <c r="M167" s="1080"/>
      <c r="N167" s="1080"/>
    </row>
    <row r="168" spans="1:14" s="896" customFormat="1" ht="15" hidden="1" customHeight="1">
      <c r="A168" s="2622"/>
      <c r="B168" s="2605"/>
      <c r="C168" s="1139" t="s">
        <v>2551</v>
      </c>
      <c r="D168" s="1138"/>
      <c r="E168" s="1113"/>
      <c r="F168" s="911"/>
      <c r="G168" s="1080"/>
      <c r="H168" s="1080"/>
      <c r="I168" s="1080"/>
      <c r="J168" s="1080"/>
      <c r="K168" s="1080"/>
      <c r="L168" s="1080"/>
      <c r="M168" s="1080"/>
      <c r="N168" s="1080"/>
    </row>
    <row r="169" spans="1:14" s="896" customFormat="1" ht="15" hidden="1" customHeight="1">
      <c r="A169" s="2622"/>
      <c r="B169" s="2605"/>
      <c r="C169" s="1110" t="s">
        <v>2552</v>
      </c>
      <c r="D169" s="1138">
        <f t="shared" ref="D169:E173" si="94">+D151</f>
        <v>1</v>
      </c>
      <c r="E169" s="1113">
        <f t="shared" si="94"/>
        <v>0.01</v>
      </c>
      <c r="F169" s="911">
        <v>0</v>
      </c>
      <c r="G169" s="1080">
        <f t="shared" si="93"/>
        <v>0</v>
      </c>
      <c r="H169" s="1080">
        <f t="shared" si="93"/>
        <v>0</v>
      </c>
      <c r="I169" s="1080">
        <f t="shared" si="93"/>
        <v>0</v>
      </c>
      <c r="J169" s="1080">
        <f t="shared" si="93"/>
        <v>0</v>
      </c>
      <c r="K169" s="1080">
        <f t="shared" si="93"/>
        <v>0</v>
      </c>
      <c r="L169" s="1080">
        <f t="shared" si="93"/>
        <v>0</v>
      </c>
      <c r="M169" s="1080">
        <f t="shared" si="93"/>
        <v>0</v>
      </c>
      <c r="N169" s="1080">
        <f t="shared" si="93"/>
        <v>0</v>
      </c>
    </row>
    <row r="170" spans="1:14" s="896" customFormat="1" ht="15" hidden="1" customHeight="1">
      <c r="A170" s="2622"/>
      <c r="B170" s="2605"/>
      <c r="C170" s="1114" t="s">
        <v>2650</v>
      </c>
      <c r="D170" s="1138">
        <f t="shared" si="94"/>
        <v>1</v>
      </c>
      <c r="E170" s="1113">
        <f t="shared" si="94"/>
        <v>0.01</v>
      </c>
      <c r="F170" s="911">
        <v>0</v>
      </c>
      <c r="G170" s="1080">
        <f t="shared" si="93"/>
        <v>0</v>
      </c>
      <c r="H170" s="1080">
        <f t="shared" si="93"/>
        <v>0</v>
      </c>
      <c r="I170" s="1080">
        <f t="shared" si="93"/>
        <v>0</v>
      </c>
      <c r="J170" s="1080">
        <f t="shared" si="93"/>
        <v>0</v>
      </c>
      <c r="K170" s="1080">
        <f t="shared" si="93"/>
        <v>0</v>
      </c>
      <c r="L170" s="1080">
        <f t="shared" si="93"/>
        <v>0</v>
      </c>
      <c r="M170" s="1080">
        <f t="shared" si="93"/>
        <v>0</v>
      </c>
      <c r="N170" s="1080">
        <f t="shared" si="93"/>
        <v>0</v>
      </c>
    </row>
    <row r="171" spans="1:14" s="896" customFormat="1" ht="15" hidden="1" customHeight="1">
      <c r="A171" s="2622"/>
      <c r="B171" s="2605"/>
      <c r="C171" s="1114" t="s">
        <v>2651</v>
      </c>
      <c r="D171" s="1138">
        <f t="shared" si="94"/>
        <v>1</v>
      </c>
      <c r="E171" s="1113">
        <f t="shared" si="94"/>
        <v>0.01</v>
      </c>
      <c r="F171" s="911">
        <v>0</v>
      </c>
      <c r="G171" s="1080">
        <f t="shared" si="93"/>
        <v>0</v>
      </c>
      <c r="H171" s="1080">
        <f t="shared" si="93"/>
        <v>0</v>
      </c>
      <c r="I171" s="1080">
        <f t="shared" si="93"/>
        <v>0</v>
      </c>
      <c r="J171" s="1080">
        <f t="shared" si="93"/>
        <v>0</v>
      </c>
      <c r="K171" s="1080">
        <f t="shared" si="93"/>
        <v>0</v>
      </c>
      <c r="L171" s="1080">
        <f t="shared" si="93"/>
        <v>0</v>
      </c>
      <c r="M171" s="1080">
        <f t="shared" si="93"/>
        <v>0</v>
      </c>
      <c r="N171" s="1080">
        <f t="shared" si="93"/>
        <v>0</v>
      </c>
    </row>
    <row r="172" spans="1:14" s="896" customFormat="1" ht="15" hidden="1" customHeight="1">
      <c r="A172" s="2622"/>
      <c r="B172" s="2606"/>
      <c r="C172" s="1110" t="s">
        <v>2555</v>
      </c>
      <c r="D172" s="1138">
        <f t="shared" si="94"/>
        <v>1</v>
      </c>
      <c r="E172" s="1113">
        <f t="shared" si="94"/>
        <v>0.01</v>
      </c>
      <c r="F172" s="911">
        <v>0</v>
      </c>
      <c r="G172" s="1080">
        <f t="shared" si="93"/>
        <v>0</v>
      </c>
      <c r="H172" s="1080">
        <f t="shared" si="93"/>
        <v>0</v>
      </c>
      <c r="I172" s="1080">
        <f t="shared" si="93"/>
        <v>0</v>
      </c>
      <c r="J172" s="1080">
        <f t="shared" si="93"/>
        <v>0</v>
      </c>
      <c r="K172" s="1080">
        <f t="shared" si="93"/>
        <v>0</v>
      </c>
      <c r="L172" s="1080">
        <f t="shared" si="93"/>
        <v>0</v>
      </c>
      <c r="M172" s="1080">
        <f t="shared" si="93"/>
        <v>0</v>
      </c>
      <c r="N172" s="1080">
        <f t="shared" si="93"/>
        <v>0</v>
      </c>
    </row>
    <row r="173" spans="1:14" s="896" customFormat="1" ht="15" hidden="1" customHeight="1" thickBot="1">
      <c r="A173" s="2626"/>
      <c r="B173" s="1140" t="s">
        <v>2644</v>
      </c>
      <c r="C173" s="1141" t="s">
        <v>2652</v>
      </c>
      <c r="D173" s="1142">
        <f t="shared" si="94"/>
        <v>1</v>
      </c>
      <c r="E173" s="1143">
        <f t="shared" si="94"/>
        <v>0</v>
      </c>
      <c r="F173" s="1144">
        <f>ROUNDDOWN(D173*E173*F155,0)</f>
        <v>0</v>
      </c>
      <c r="G173" s="1080">
        <f>ROUNDDOWN(G155*$E173*$D173,0)</f>
        <v>0</v>
      </c>
      <c r="H173" s="1080">
        <f>ROUNDDOWN(H155*$E173*$D173,0)</f>
        <v>0</v>
      </c>
      <c r="I173" s="1080">
        <f t="shared" si="93"/>
        <v>0</v>
      </c>
      <c r="J173" s="1080">
        <f t="shared" si="93"/>
        <v>0</v>
      </c>
      <c r="K173" s="1080">
        <f t="shared" si="93"/>
        <v>0</v>
      </c>
      <c r="L173" s="1080">
        <f t="shared" si="93"/>
        <v>0</v>
      </c>
      <c r="M173" s="1080">
        <f t="shared" si="93"/>
        <v>0</v>
      </c>
      <c r="N173" s="1080">
        <f t="shared" si="93"/>
        <v>0</v>
      </c>
    </row>
    <row r="174" spans="1:14" s="896" customFormat="1" ht="15" hidden="1" customHeight="1" thickTop="1">
      <c r="A174" s="1145"/>
      <c r="B174" s="1146"/>
      <c r="C174" s="1147" t="s">
        <v>2653</v>
      </c>
      <c r="D174" s="1148"/>
      <c r="E174" s="1149"/>
      <c r="F174" s="1150">
        <f>SUM(G174:N174)</f>
        <v>5168436</v>
      </c>
      <c r="G174" s="1151">
        <f>SUM(G161:G173)+G159</f>
        <v>869163</v>
      </c>
      <c r="H174" s="1151">
        <f t="shared" ref="H174:N174" si="95">SUM(H161:H173)+H159</f>
        <v>624799</v>
      </c>
      <c r="I174" s="1151">
        <f t="shared" si="95"/>
        <v>58877</v>
      </c>
      <c r="J174" s="1151">
        <f t="shared" si="95"/>
        <v>3307304</v>
      </c>
      <c r="K174" s="1151">
        <f>SUM(K161:K173)+K159</f>
        <v>308293</v>
      </c>
      <c r="L174" s="1151">
        <f t="shared" si="95"/>
        <v>0</v>
      </c>
      <c r="M174" s="1151">
        <f t="shared" si="95"/>
        <v>0</v>
      </c>
      <c r="N174" s="1152">
        <f t="shared" si="95"/>
        <v>0</v>
      </c>
    </row>
    <row r="175" spans="1:14" s="896" customFormat="1" ht="15" customHeight="1">
      <c r="A175" s="1295"/>
      <c r="B175" s="1295"/>
      <c r="C175" s="924"/>
      <c r="D175" s="924"/>
      <c r="E175" s="1295"/>
      <c r="F175" s="1153"/>
      <c r="G175" s="915"/>
      <c r="H175" s="915"/>
      <c r="I175" s="915"/>
      <c r="J175" s="915"/>
      <c r="K175" s="915"/>
      <c r="L175" s="915"/>
      <c r="M175" s="915"/>
      <c r="N175" s="915"/>
    </row>
    <row r="176" spans="1:14" s="896" customFormat="1" ht="15" customHeight="1">
      <c r="A176" s="1295"/>
      <c r="B176" s="1295"/>
      <c r="C176" s="1099" t="s">
        <v>2654</v>
      </c>
      <c r="D176" s="1099"/>
      <c r="E176" s="923"/>
      <c r="F176" s="1042"/>
      <c r="G176" s="1046"/>
      <c r="H176" s="1046"/>
      <c r="I176" s="1046"/>
      <c r="J176" s="1046"/>
      <c r="K176" s="1046"/>
      <c r="L176" s="1046"/>
      <c r="M176" s="1046"/>
      <c r="N176" s="1100" t="s">
        <v>2655</v>
      </c>
    </row>
    <row r="177" spans="1:14" s="896" customFormat="1" ht="15" customHeight="1">
      <c r="A177" s="1295"/>
      <c r="B177" s="1295"/>
      <c r="C177" s="930" t="s">
        <v>2656</v>
      </c>
      <c r="D177" s="930"/>
      <c r="E177" s="923"/>
      <c r="F177" s="1042"/>
      <c r="G177" s="1046"/>
      <c r="H177" s="1046"/>
      <c r="I177" s="1046"/>
      <c r="J177" s="1046"/>
      <c r="K177" s="1046"/>
      <c r="L177" s="1046"/>
      <c r="M177" s="1046"/>
      <c r="N177" s="1100"/>
    </row>
    <row r="178" spans="1:14" s="896" customFormat="1" ht="15" customHeight="1">
      <c r="A178" s="877"/>
      <c r="B178" s="878"/>
      <c r="C178" s="878"/>
      <c r="D178" s="2616" t="s">
        <v>2635</v>
      </c>
      <c r="E178" s="2616" t="s">
        <v>2636</v>
      </c>
      <c r="F178" s="1092" t="s">
        <v>2517</v>
      </c>
      <c r="G178" s="1093" t="str">
        <f t="shared" ref="G178:N178" si="96">+G86</f>
        <v>工事1</v>
      </c>
      <c r="H178" s="1093" t="str">
        <f t="shared" si="96"/>
        <v>工事2</v>
      </c>
      <c r="I178" s="1093" t="str">
        <f t="shared" si="96"/>
        <v>工事3</v>
      </c>
      <c r="J178" s="1093" t="str">
        <f t="shared" si="96"/>
        <v>工事4</v>
      </c>
      <c r="K178" s="1093" t="str">
        <f t="shared" si="96"/>
        <v>工事5</v>
      </c>
      <c r="L178" s="1093">
        <f t="shared" si="96"/>
        <v>0</v>
      </c>
      <c r="M178" s="1093">
        <f t="shared" si="96"/>
        <v>0</v>
      </c>
      <c r="N178" s="1094">
        <f t="shared" si="96"/>
        <v>0</v>
      </c>
    </row>
    <row r="179" spans="1:14" s="896" customFormat="1" ht="15" customHeight="1">
      <c r="A179" s="2618" t="s">
        <v>2657</v>
      </c>
      <c r="B179" s="2619"/>
      <c r="C179" s="2620"/>
      <c r="D179" s="2617"/>
      <c r="E179" s="2617"/>
      <c r="F179" s="1101"/>
      <c r="G179" s="1102"/>
      <c r="H179" s="1102"/>
      <c r="I179" s="1102"/>
      <c r="J179" s="1102"/>
      <c r="K179" s="1102"/>
      <c r="L179" s="1102"/>
      <c r="M179" s="1102"/>
      <c r="N179" s="1103"/>
    </row>
    <row r="180" spans="1:14" s="896" customFormat="1" ht="15" customHeight="1">
      <c r="A180" s="2621"/>
      <c r="B180" s="1104" t="s">
        <v>2658</v>
      </c>
      <c r="C180" s="1105"/>
      <c r="D180" s="1106"/>
      <c r="E180" s="1107"/>
      <c r="F180" s="1108">
        <f t="shared" ref="F180:F187" si="97">SUM(G180:N180)</f>
        <v>175542663</v>
      </c>
      <c r="G180" s="1109">
        <f>+G91-G135-G134-G130-G131</f>
        <v>33350733</v>
      </c>
      <c r="H180" s="1109">
        <f t="shared" ref="H180:N180" si="98">+H91-H135-H134-H130-H131</f>
        <v>22308051</v>
      </c>
      <c r="I180" s="1109">
        <f t="shared" si="98"/>
        <v>2130068</v>
      </c>
      <c r="J180" s="1109">
        <f t="shared" si="98"/>
        <v>107545648</v>
      </c>
      <c r="K180" s="1109">
        <f>+K91-K135-K134-K130-K131</f>
        <v>10208163</v>
      </c>
      <c r="L180" s="1109">
        <f t="shared" si="98"/>
        <v>0</v>
      </c>
      <c r="M180" s="1109">
        <f t="shared" si="98"/>
        <v>0</v>
      </c>
      <c r="N180" s="1122">
        <f t="shared" si="98"/>
        <v>0</v>
      </c>
    </row>
    <row r="181" spans="1:14" s="896" customFormat="1" ht="15" customHeight="1">
      <c r="A181" s="2622"/>
      <c r="B181" s="2607" t="s">
        <v>2541</v>
      </c>
      <c r="C181" s="1110" t="s">
        <v>2542</v>
      </c>
      <c r="D181" s="1111">
        <v>1</v>
      </c>
      <c r="E181" s="1112" t="s">
        <v>2639</v>
      </c>
      <c r="F181" s="911">
        <f t="shared" si="97"/>
        <v>0</v>
      </c>
      <c r="G181" s="912">
        <f>IF(G117&gt;=G118,+G117+G159+G98-G99-G100-G135,G117+G159)</f>
        <v>0</v>
      </c>
      <c r="H181" s="912">
        <f t="shared" ref="H181:N181" si="99">IF(H117&gt;=H118,+H117+H159+H98-H99-H100-H135,H117+H159)</f>
        <v>0</v>
      </c>
      <c r="I181" s="912">
        <f t="shared" si="99"/>
        <v>0</v>
      </c>
      <c r="J181" s="912">
        <f t="shared" si="99"/>
        <v>0</v>
      </c>
      <c r="K181" s="912">
        <f t="shared" si="99"/>
        <v>0</v>
      </c>
      <c r="L181" s="912">
        <f t="shared" si="99"/>
        <v>0</v>
      </c>
      <c r="M181" s="912">
        <f t="shared" si="99"/>
        <v>0</v>
      </c>
      <c r="N181" s="913">
        <f t="shared" si="99"/>
        <v>0</v>
      </c>
    </row>
    <row r="182" spans="1:14" s="896" customFormat="1" ht="15" customHeight="1">
      <c r="A182" s="2622"/>
      <c r="B182" s="2605"/>
      <c r="C182" s="1110" t="s">
        <v>2543</v>
      </c>
      <c r="D182" s="1111">
        <v>1</v>
      </c>
      <c r="E182" s="1112" t="s">
        <v>2639</v>
      </c>
      <c r="F182" s="911">
        <f t="shared" si="97"/>
        <v>170319246</v>
      </c>
      <c r="G182" s="912">
        <f>IF(G117&gt;=G118,+G118+G161,G118+G161+G98-G99-G100-G135)</f>
        <v>29970061</v>
      </c>
      <c r="H182" s="912">
        <f t="shared" ref="H182:N182" si="100">IF(H117&gt;=H118,+H118+H161,H118+H161+H98-H99-H100-H135)</f>
        <v>22308051</v>
      </c>
      <c r="I182" s="912">
        <f t="shared" si="100"/>
        <v>1788688</v>
      </c>
      <c r="J182" s="912">
        <f t="shared" si="100"/>
        <v>106447980</v>
      </c>
      <c r="K182" s="912">
        <f t="shared" si="100"/>
        <v>9804466</v>
      </c>
      <c r="L182" s="912">
        <f t="shared" si="100"/>
        <v>0</v>
      </c>
      <c r="M182" s="912">
        <f t="shared" si="100"/>
        <v>0</v>
      </c>
      <c r="N182" s="913">
        <f t="shared" si="100"/>
        <v>0</v>
      </c>
    </row>
    <row r="183" spans="1:14" s="896" customFormat="1" ht="15" customHeight="1">
      <c r="A183" s="2622"/>
      <c r="B183" s="2605"/>
      <c r="C183" s="1110" t="s">
        <v>2640</v>
      </c>
      <c r="D183" s="1111">
        <v>1</v>
      </c>
      <c r="E183" s="1112" t="s">
        <v>2639</v>
      </c>
      <c r="F183" s="911">
        <f t="shared" si="97"/>
        <v>0</v>
      </c>
      <c r="G183" s="912">
        <f>+G119+G162</f>
        <v>0</v>
      </c>
      <c r="H183" s="912">
        <f t="shared" ref="H183:N187" si="101">+H119+H162</f>
        <v>0</v>
      </c>
      <c r="I183" s="912">
        <f t="shared" si="101"/>
        <v>0</v>
      </c>
      <c r="J183" s="912">
        <f t="shared" si="101"/>
        <v>0</v>
      </c>
      <c r="K183" s="912">
        <f t="shared" si="101"/>
        <v>0</v>
      </c>
      <c r="L183" s="912">
        <f t="shared" si="101"/>
        <v>0</v>
      </c>
      <c r="M183" s="912">
        <f t="shared" si="101"/>
        <v>0</v>
      </c>
      <c r="N183" s="913">
        <f t="shared" si="101"/>
        <v>0</v>
      </c>
    </row>
    <row r="184" spans="1:14" s="896" customFormat="1" ht="15" customHeight="1">
      <c r="A184" s="2622"/>
      <c r="B184" s="2606"/>
      <c r="C184" s="1110" t="s">
        <v>2641</v>
      </c>
      <c r="D184" s="1111">
        <v>1</v>
      </c>
      <c r="E184" s="1112" t="s">
        <v>2639</v>
      </c>
      <c r="F184" s="911">
        <f t="shared" si="97"/>
        <v>0</v>
      </c>
      <c r="G184" s="912">
        <f>+G120+G163</f>
        <v>0</v>
      </c>
      <c r="H184" s="912">
        <f t="shared" si="101"/>
        <v>0</v>
      </c>
      <c r="I184" s="912">
        <f t="shared" si="101"/>
        <v>0</v>
      </c>
      <c r="J184" s="912">
        <f t="shared" si="101"/>
        <v>0</v>
      </c>
      <c r="K184" s="912">
        <f t="shared" si="101"/>
        <v>0</v>
      </c>
      <c r="L184" s="912">
        <f t="shared" si="101"/>
        <v>0</v>
      </c>
      <c r="M184" s="912">
        <f t="shared" si="101"/>
        <v>0</v>
      </c>
      <c r="N184" s="913">
        <f t="shared" si="101"/>
        <v>0</v>
      </c>
    </row>
    <row r="185" spans="1:14" s="896" customFormat="1" ht="15" customHeight="1">
      <c r="A185" s="2622"/>
      <c r="B185" s="2607" t="s">
        <v>2546</v>
      </c>
      <c r="C185" s="1110" t="s">
        <v>2642</v>
      </c>
      <c r="D185" s="1111">
        <v>1</v>
      </c>
      <c r="E185" s="1113">
        <v>0.02</v>
      </c>
      <c r="F185" s="911">
        <f t="shared" si="97"/>
        <v>0</v>
      </c>
      <c r="G185" s="912">
        <f>+G121+G164</f>
        <v>0</v>
      </c>
      <c r="H185" s="912">
        <f t="shared" si="101"/>
        <v>0</v>
      </c>
      <c r="I185" s="912">
        <f t="shared" si="101"/>
        <v>0</v>
      </c>
      <c r="J185" s="912">
        <f t="shared" si="101"/>
        <v>0</v>
      </c>
      <c r="K185" s="912">
        <f t="shared" si="101"/>
        <v>0</v>
      </c>
      <c r="L185" s="912">
        <f t="shared" si="101"/>
        <v>0</v>
      </c>
      <c r="M185" s="912">
        <f t="shared" si="101"/>
        <v>0</v>
      </c>
      <c r="N185" s="913">
        <f t="shared" si="101"/>
        <v>0</v>
      </c>
    </row>
    <row r="186" spans="1:14" s="896" customFormat="1" ht="15" customHeight="1">
      <c r="A186" s="2622"/>
      <c r="B186" s="2605"/>
      <c r="C186" s="1110" t="s">
        <v>2643</v>
      </c>
      <c r="D186" s="1111">
        <v>1</v>
      </c>
      <c r="E186" s="1113">
        <v>0.02</v>
      </c>
      <c r="F186" s="911">
        <f t="shared" si="97"/>
        <v>0</v>
      </c>
      <c r="G186" s="912">
        <f>+G122+G165</f>
        <v>0</v>
      </c>
      <c r="H186" s="912">
        <f t="shared" si="101"/>
        <v>0</v>
      </c>
      <c r="I186" s="912">
        <f t="shared" si="101"/>
        <v>0</v>
      </c>
      <c r="J186" s="912">
        <f t="shared" si="101"/>
        <v>0</v>
      </c>
      <c r="K186" s="912">
        <f t="shared" si="101"/>
        <v>0</v>
      </c>
      <c r="L186" s="912">
        <f t="shared" si="101"/>
        <v>0</v>
      </c>
      <c r="M186" s="912">
        <f t="shared" si="101"/>
        <v>0</v>
      </c>
      <c r="N186" s="913">
        <f t="shared" si="101"/>
        <v>0</v>
      </c>
    </row>
    <row r="187" spans="1:14" s="896" customFormat="1" ht="15" customHeight="1">
      <c r="A187" s="2622"/>
      <c r="B187" s="2605"/>
      <c r="C187" s="1110" t="s">
        <v>2549</v>
      </c>
      <c r="D187" s="1111">
        <v>1</v>
      </c>
      <c r="E187" s="1113">
        <v>0.02</v>
      </c>
      <c r="F187" s="911">
        <f t="shared" si="97"/>
        <v>5223417</v>
      </c>
      <c r="G187" s="912">
        <f>+G123+G166</f>
        <v>3380672</v>
      </c>
      <c r="H187" s="912">
        <f t="shared" si="101"/>
        <v>0</v>
      </c>
      <c r="I187" s="912">
        <f t="shared" si="101"/>
        <v>341380</v>
      </c>
      <c r="J187" s="912">
        <f t="shared" si="101"/>
        <v>1097668</v>
      </c>
      <c r="K187" s="912">
        <f t="shared" si="101"/>
        <v>403697</v>
      </c>
      <c r="L187" s="912">
        <f t="shared" si="101"/>
        <v>0</v>
      </c>
      <c r="M187" s="912">
        <f t="shared" si="101"/>
        <v>0</v>
      </c>
      <c r="N187" s="913">
        <f t="shared" si="101"/>
        <v>0</v>
      </c>
    </row>
    <row r="188" spans="1:14" s="896" customFormat="1" ht="15" customHeight="1">
      <c r="A188" s="2622"/>
      <c r="B188" s="2605"/>
      <c r="C188" s="1110" t="s">
        <v>2629</v>
      </c>
      <c r="D188" s="1111"/>
      <c r="E188" s="1113"/>
      <c r="F188" s="911"/>
      <c r="G188" s="912"/>
      <c r="H188" s="912"/>
      <c r="I188" s="912"/>
      <c r="J188" s="912"/>
      <c r="K188" s="912"/>
      <c r="L188" s="912"/>
      <c r="M188" s="912"/>
      <c r="N188" s="913"/>
    </row>
    <row r="189" spans="1:14" s="896" customFormat="1" ht="15" customHeight="1">
      <c r="A189" s="2622"/>
      <c r="B189" s="2605"/>
      <c r="C189" s="1110" t="s">
        <v>2551</v>
      </c>
      <c r="D189" s="1111"/>
      <c r="E189" s="1113"/>
      <c r="F189" s="911"/>
      <c r="G189" s="912"/>
      <c r="H189" s="912"/>
      <c r="I189" s="912"/>
      <c r="J189" s="912"/>
      <c r="K189" s="912"/>
      <c r="L189" s="912"/>
      <c r="M189" s="912"/>
      <c r="N189" s="913"/>
    </row>
    <row r="190" spans="1:14" s="896" customFormat="1" ht="15" customHeight="1">
      <c r="A190" s="2622"/>
      <c r="B190" s="2605"/>
      <c r="C190" s="1110" t="s">
        <v>2552</v>
      </c>
      <c r="D190" s="1111">
        <v>1</v>
      </c>
      <c r="E190" s="1113">
        <v>0.02</v>
      </c>
      <c r="F190" s="911">
        <f>SUM(G190:N190)</f>
        <v>0</v>
      </c>
      <c r="G190" s="912">
        <f t="shared" ref="G190:N193" si="102">+G126+G169</f>
        <v>0</v>
      </c>
      <c r="H190" s="912">
        <f t="shared" si="102"/>
        <v>0</v>
      </c>
      <c r="I190" s="912">
        <f t="shared" si="102"/>
        <v>0</v>
      </c>
      <c r="J190" s="912">
        <f t="shared" si="102"/>
        <v>0</v>
      </c>
      <c r="K190" s="912">
        <f t="shared" si="102"/>
        <v>0</v>
      </c>
      <c r="L190" s="912">
        <f t="shared" si="102"/>
        <v>0</v>
      </c>
      <c r="M190" s="912">
        <f t="shared" si="102"/>
        <v>0</v>
      </c>
      <c r="N190" s="913">
        <f t="shared" si="102"/>
        <v>0</v>
      </c>
    </row>
    <row r="191" spans="1:14" s="896" customFormat="1" ht="15" customHeight="1">
      <c r="A191" s="2622"/>
      <c r="B191" s="2605"/>
      <c r="C191" s="1114" t="s">
        <v>2553</v>
      </c>
      <c r="D191" s="1111">
        <v>1</v>
      </c>
      <c r="E191" s="1113">
        <v>0.02</v>
      </c>
      <c r="F191" s="911">
        <f>SUM(G191:N191)</f>
        <v>0</v>
      </c>
      <c r="G191" s="912">
        <f t="shared" si="102"/>
        <v>0</v>
      </c>
      <c r="H191" s="912">
        <f t="shared" si="102"/>
        <v>0</v>
      </c>
      <c r="I191" s="912">
        <f t="shared" si="102"/>
        <v>0</v>
      </c>
      <c r="J191" s="912">
        <f t="shared" si="102"/>
        <v>0</v>
      </c>
      <c r="K191" s="912">
        <f t="shared" si="102"/>
        <v>0</v>
      </c>
      <c r="L191" s="912">
        <f t="shared" si="102"/>
        <v>0</v>
      </c>
      <c r="M191" s="912">
        <f t="shared" si="102"/>
        <v>0</v>
      </c>
      <c r="N191" s="913">
        <f t="shared" si="102"/>
        <v>0</v>
      </c>
    </row>
    <row r="192" spans="1:14" s="896" customFormat="1" ht="14.25" customHeight="1">
      <c r="A192" s="2622"/>
      <c r="B192" s="2605"/>
      <c r="C192" s="1114" t="s">
        <v>2631</v>
      </c>
      <c r="D192" s="1111">
        <v>1</v>
      </c>
      <c r="E192" s="1113">
        <v>0.02</v>
      </c>
      <c r="F192" s="911">
        <f>SUM(G192:N192)</f>
        <v>0</v>
      </c>
      <c r="G192" s="912">
        <f t="shared" si="102"/>
        <v>0</v>
      </c>
      <c r="H192" s="912">
        <f t="shared" si="102"/>
        <v>0</v>
      </c>
      <c r="I192" s="912">
        <f t="shared" si="102"/>
        <v>0</v>
      </c>
      <c r="J192" s="912">
        <f t="shared" si="102"/>
        <v>0</v>
      </c>
      <c r="K192" s="912">
        <f t="shared" si="102"/>
        <v>0</v>
      </c>
      <c r="L192" s="912">
        <f t="shared" si="102"/>
        <v>0</v>
      </c>
      <c r="M192" s="912">
        <f t="shared" si="102"/>
        <v>0</v>
      </c>
      <c r="N192" s="913">
        <f t="shared" si="102"/>
        <v>0</v>
      </c>
    </row>
    <row r="193" spans="1:14" s="896" customFormat="1" ht="14.25" customHeight="1">
      <c r="A193" s="2622"/>
      <c r="B193" s="2606"/>
      <c r="C193" s="1110" t="s">
        <v>2555</v>
      </c>
      <c r="D193" s="1111">
        <v>1</v>
      </c>
      <c r="E193" s="1113">
        <v>0.02</v>
      </c>
      <c r="F193" s="911">
        <f>SUM(G193:N193)</f>
        <v>0</v>
      </c>
      <c r="G193" s="912">
        <f t="shared" si="102"/>
        <v>0</v>
      </c>
      <c r="H193" s="912">
        <f t="shared" si="102"/>
        <v>0</v>
      </c>
      <c r="I193" s="912">
        <f t="shared" si="102"/>
        <v>0</v>
      </c>
      <c r="J193" s="912">
        <f t="shared" si="102"/>
        <v>0</v>
      </c>
      <c r="K193" s="912">
        <f t="shared" si="102"/>
        <v>0</v>
      </c>
      <c r="L193" s="912">
        <f t="shared" si="102"/>
        <v>0</v>
      </c>
      <c r="M193" s="912">
        <f t="shared" si="102"/>
        <v>0</v>
      </c>
      <c r="N193" s="913">
        <f t="shared" si="102"/>
        <v>0</v>
      </c>
    </row>
    <row r="194" spans="1:14" s="896" customFormat="1" ht="14.25" customHeight="1">
      <c r="A194" s="2623"/>
      <c r="B194" s="1115" t="s">
        <v>2644</v>
      </c>
      <c r="C194" s="1154" t="s">
        <v>2659</v>
      </c>
      <c r="D194" s="1117">
        <v>1</v>
      </c>
      <c r="E194" s="1118">
        <v>0</v>
      </c>
      <c r="F194" s="946">
        <f>SUM(G194:N194)</f>
        <v>471415</v>
      </c>
      <c r="G194" s="1073">
        <f>SUM(G130:G136)</f>
        <v>75152</v>
      </c>
      <c r="H194" s="1073">
        <f t="shared" ref="H194:N194" si="103">SUM(H130:H136)</f>
        <v>10832</v>
      </c>
      <c r="I194" s="1073">
        <f t="shared" si="103"/>
        <v>1593</v>
      </c>
      <c r="J194" s="1073">
        <f t="shared" si="103"/>
        <v>383838</v>
      </c>
      <c r="K194" s="1073">
        <f>SUM(K130:K136)</f>
        <v>0</v>
      </c>
      <c r="L194" s="1073">
        <f t="shared" si="103"/>
        <v>0</v>
      </c>
      <c r="M194" s="1073">
        <f t="shared" si="103"/>
        <v>0</v>
      </c>
      <c r="N194" s="1074">
        <f t="shared" si="103"/>
        <v>0</v>
      </c>
    </row>
    <row r="195" spans="1:14" s="896" customFormat="1" ht="14.25" customHeight="1">
      <c r="A195" s="1119"/>
      <c r="B195" s="1120"/>
      <c r="C195" s="1121"/>
      <c r="D195" s="2624"/>
      <c r="E195" s="2624"/>
      <c r="F195" s="1108"/>
      <c r="G195" s="1109"/>
      <c r="H195" s="1109"/>
      <c r="I195" s="1109"/>
      <c r="J195" s="1109"/>
      <c r="K195" s="1109"/>
      <c r="L195" s="1109"/>
      <c r="M195" s="1109"/>
      <c r="N195" s="1122"/>
    </row>
    <row r="196" spans="1:14" s="896" customFormat="1" ht="14.25" customHeight="1">
      <c r="A196" s="2618" t="s">
        <v>2660</v>
      </c>
      <c r="B196" s="2619"/>
      <c r="C196" s="2620"/>
      <c r="D196" s="2625"/>
      <c r="E196" s="2625"/>
      <c r="F196" s="1101"/>
      <c r="G196" s="1102"/>
      <c r="H196" s="1102"/>
      <c r="I196" s="1102"/>
      <c r="J196" s="1102"/>
      <c r="K196" s="1102"/>
      <c r="L196" s="1102"/>
      <c r="M196" s="1102"/>
      <c r="N196" s="1103"/>
    </row>
    <row r="197" spans="1:14" s="896" customFormat="1" ht="14.25" customHeight="1">
      <c r="A197" s="2621"/>
      <c r="B197" s="2604" t="s">
        <v>2541</v>
      </c>
      <c r="C197" s="1123" t="s">
        <v>2542</v>
      </c>
      <c r="D197" s="1124"/>
      <c r="E197" s="1125" t="s">
        <v>2639</v>
      </c>
      <c r="F197" s="1126" t="s">
        <v>2647</v>
      </c>
      <c r="G197" s="1127">
        <f>IF(G181=0,0,+G282/100)</f>
        <v>0</v>
      </c>
      <c r="H197" s="1127">
        <f t="shared" ref="H197:N197" si="104">IF(H181=0,0,+H282/100)</f>
        <v>0</v>
      </c>
      <c r="I197" s="1127">
        <f t="shared" si="104"/>
        <v>0</v>
      </c>
      <c r="J197" s="1127">
        <f t="shared" si="104"/>
        <v>0</v>
      </c>
      <c r="K197" s="1127">
        <f>IF(K181=0,0,+K282/100)</f>
        <v>0</v>
      </c>
      <c r="L197" s="1127">
        <f t="shared" si="104"/>
        <v>0</v>
      </c>
      <c r="M197" s="1127">
        <f t="shared" si="104"/>
        <v>0</v>
      </c>
      <c r="N197" s="1128">
        <f t="shared" si="104"/>
        <v>0</v>
      </c>
    </row>
    <row r="198" spans="1:14" s="896" customFormat="1" ht="14.25" customHeight="1">
      <c r="A198" s="2622"/>
      <c r="B198" s="2605"/>
      <c r="C198" s="1129"/>
      <c r="D198" s="1130">
        <f>+D181</f>
        <v>1</v>
      </c>
      <c r="E198" s="1131" t="s">
        <v>2639</v>
      </c>
      <c r="F198" s="1064">
        <f>SUM(G198:N198)</f>
        <v>0</v>
      </c>
      <c r="G198" s="1080">
        <f>ROUNDDOWN(G181*G197*$D198,0)</f>
        <v>0</v>
      </c>
      <c r="H198" s="1080">
        <f t="shared" ref="H198:N198" si="105">ROUNDDOWN(H181*H197*$D198,0)</f>
        <v>0</v>
      </c>
      <c r="I198" s="1080">
        <f t="shared" si="105"/>
        <v>0</v>
      </c>
      <c r="J198" s="1080">
        <f t="shared" si="105"/>
        <v>0</v>
      </c>
      <c r="K198" s="1080">
        <f>ROUNDDOWN(K181*K197*$D198,0)</f>
        <v>0</v>
      </c>
      <c r="L198" s="1080">
        <f t="shared" si="105"/>
        <v>0</v>
      </c>
      <c r="M198" s="1080">
        <f t="shared" si="105"/>
        <v>0</v>
      </c>
      <c r="N198" s="1081">
        <f t="shared" si="105"/>
        <v>0</v>
      </c>
    </row>
    <row r="199" spans="1:14" s="896" customFormat="1" ht="14.25" customHeight="1">
      <c r="A199" s="2622"/>
      <c r="B199" s="2605"/>
      <c r="C199" s="1132" t="s">
        <v>2543</v>
      </c>
      <c r="D199" s="1133"/>
      <c r="E199" s="1131" t="s">
        <v>2639</v>
      </c>
      <c r="F199" s="1134" t="s">
        <v>2647</v>
      </c>
      <c r="G199" s="1155">
        <f>IF(G182=0,0,+G290/100)</f>
        <v>0.1201</v>
      </c>
      <c r="H199" s="1135">
        <f t="shared" ref="H199:N199" si="106">IF(H182=0,0,+H290/100)</f>
        <v>0.1023</v>
      </c>
      <c r="I199" s="1135">
        <f t="shared" si="106"/>
        <v>0.1201</v>
      </c>
      <c r="J199" s="1135">
        <f t="shared" si="106"/>
        <v>0.1201</v>
      </c>
      <c r="K199" s="1135">
        <f>IF(K182=0,0,+K290/100)</f>
        <v>0.1201</v>
      </c>
      <c r="L199" s="1135">
        <f t="shared" si="106"/>
        <v>0</v>
      </c>
      <c r="M199" s="1135">
        <f t="shared" si="106"/>
        <v>0</v>
      </c>
      <c r="N199" s="1136">
        <f t="shared" si="106"/>
        <v>0</v>
      </c>
    </row>
    <row r="200" spans="1:14" s="896" customFormat="1" ht="14.25" customHeight="1">
      <c r="A200" s="2622"/>
      <c r="B200" s="2605"/>
      <c r="C200" s="1129"/>
      <c r="D200" s="1137">
        <f t="shared" ref="D200:D205" si="107">+D182</f>
        <v>1</v>
      </c>
      <c r="E200" s="1131" t="s">
        <v>2639</v>
      </c>
      <c r="F200" s="1064">
        <f t="shared" ref="F200:F205" si="108">SUM(G200:N200)</f>
        <v>20058256</v>
      </c>
      <c r="G200" s="1080">
        <f>ROUNDDOWN(G182*G199*$D200,0)</f>
        <v>3599404</v>
      </c>
      <c r="H200" s="1080">
        <f t="shared" ref="H200:N200" si="109">ROUNDDOWN(H182*H199*$D200,0)</f>
        <v>2282113</v>
      </c>
      <c r="I200" s="1080">
        <f t="shared" si="109"/>
        <v>214821</v>
      </c>
      <c r="J200" s="1080">
        <f t="shared" si="109"/>
        <v>12784402</v>
      </c>
      <c r="K200" s="1080">
        <f>ROUNDDOWN(K182*K199*$D200,0)</f>
        <v>1177516</v>
      </c>
      <c r="L200" s="1080">
        <f t="shared" si="109"/>
        <v>0</v>
      </c>
      <c r="M200" s="1080">
        <f t="shared" si="109"/>
        <v>0</v>
      </c>
      <c r="N200" s="1081">
        <f t="shared" si="109"/>
        <v>0</v>
      </c>
    </row>
    <row r="201" spans="1:14" s="896" customFormat="1" ht="14.25" customHeight="1">
      <c r="A201" s="2622"/>
      <c r="B201" s="2605"/>
      <c r="C201" s="1110" t="s">
        <v>2565</v>
      </c>
      <c r="D201" s="1138">
        <f t="shared" si="107"/>
        <v>1</v>
      </c>
      <c r="E201" s="1131" t="s">
        <v>2639</v>
      </c>
      <c r="F201" s="1064">
        <f t="shared" si="108"/>
        <v>0</v>
      </c>
      <c r="G201" s="1080">
        <f t="shared" ref="G201:N201" si="110">ROUNDDOWN(G183*G197*$D201,0)</f>
        <v>0</v>
      </c>
      <c r="H201" s="1080">
        <f t="shared" si="110"/>
        <v>0</v>
      </c>
      <c r="I201" s="1080">
        <f t="shared" si="110"/>
        <v>0</v>
      </c>
      <c r="J201" s="1080">
        <f t="shared" si="110"/>
        <v>0</v>
      </c>
      <c r="K201" s="1080">
        <f>ROUNDDOWN(K183*K197*$D201,0)</f>
        <v>0</v>
      </c>
      <c r="L201" s="1080">
        <f t="shared" si="110"/>
        <v>0</v>
      </c>
      <c r="M201" s="1080">
        <f t="shared" si="110"/>
        <v>0</v>
      </c>
      <c r="N201" s="1081">
        <f t="shared" si="110"/>
        <v>0</v>
      </c>
    </row>
    <row r="202" spans="1:14" s="896" customFormat="1" ht="14.25" customHeight="1">
      <c r="A202" s="2622"/>
      <c r="B202" s="2606"/>
      <c r="C202" s="1110" t="s">
        <v>2566</v>
      </c>
      <c r="D202" s="1138">
        <f t="shared" si="107"/>
        <v>1</v>
      </c>
      <c r="E202" s="1131" t="s">
        <v>2639</v>
      </c>
      <c r="F202" s="1064">
        <f t="shared" si="108"/>
        <v>0</v>
      </c>
      <c r="G202" s="1080">
        <f>ROUNDDOWN(G184*G199*$D202,0)</f>
        <v>0</v>
      </c>
      <c r="H202" s="1080">
        <f t="shared" ref="H202:N202" si="111">ROUNDDOWN(H184*H199*$D202,0)</f>
        <v>0</v>
      </c>
      <c r="I202" s="1080">
        <f t="shared" si="111"/>
        <v>0</v>
      </c>
      <c r="J202" s="1080">
        <f t="shared" si="111"/>
        <v>0</v>
      </c>
      <c r="K202" s="1080">
        <f>ROUNDDOWN(K184*K199*$D202,0)</f>
        <v>0</v>
      </c>
      <c r="L202" s="1080">
        <f t="shared" si="111"/>
        <v>0</v>
      </c>
      <c r="M202" s="1080">
        <f t="shared" si="111"/>
        <v>0</v>
      </c>
      <c r="N202" s="1081">
        <f t="shared" si="111"/>
        <v>0</v>
      </c>
    </row>
    <row r="203" spans="1:14" s="896" customFormat="1" ht="14.25" customHeight="1">
      <c r="A203" s="2622"/>
      <c r="B203" s="2607" t="s">
        <v>2546</v>
      </c>
      <c r="C203" s="1110" t="s">
        <v>2642</v>
      </c>
      <c r="D203" s="1138">
        <f t="shared" si="107"/>
        <v>1</v>
      </c>
      <c r="E203" s="1113">
        <f>+E185</f>
        <v>0.02</v>
      </c>
      <c r="F203" s="1064">
        <f t="shared" si="108"/>
        <v>0</v>
      </c>
      <c r="G203" s="1080">
        <f t="shared" ref="G203:N205" si="112">ROUNDDOWN(G185*$E203*$D203,0)</f>
        <v>0</v>
      </c>
      <c r="H203" s="1080">
        <f t="shared" si="112"/>
        <v>0</v>
      </c>
      <c r="I203" s="1080">
        <f t="shared" si="112"/>
        <v>0</v>
      </c>
      <c r="J203" s="1080">
        <f t="shared" si="112"/>
        <v>0</v>
      </c>
      <c r="K203" s="1080">
        <f t="shared" si="112"/>
        <v>0</v>
      </c>
      <c r="L203" s="1080">
        <f t="shared" si="112"/>
        <v>0</v>
      </c>
      <c r="M203" s="1080">
        <f t="shared" si="112"/>
        <v>0</v>
      </c>
      <c r="N203" s="1081">
        <f t="shared" si="112"/>
        <v>0</v>
      </c>
    </row>
    <row r="204" spans="1:14" s="896" customFormat="1" ht="14.25" customHeight="1">
      <c r="A204" s="2622"/>
      <c r="B204" s="2605"/>
      <c r="C204" s="1110" t="s">
        <v>2648</v>
      </c>
      <c r="D204" s="1138">
        <f t="shared" si="107"/>
        <v>1</v>
      </c>
      <c r="E204" s="1113">
        <f>+E186</f>
        <v>0.02</v>
      </c>
      <c r="F204" s="1064">
        <f t="shared" si="108"/>
        <v>0</v>
      </c>
      <c r="G204" s="1080">
        <f t="shared" si="112"/>
        <v>0</v>
      </c>
      <c r="H204" s="1080">
        <f t="shared" si="112"/>
        <v>0</v>
      </c>
      <c r="I204" s="1080">
        <f t="shared" si="112"/>
        <v>0</v>
      </c>
      <c r="J204" s="1080">
        <f t="shared" si="112"/>
        <v>0</v>
      </c>
      <c r="K204" s="1080">
        <f>ROUNDDOWN(K186*$E204*$D204,0)</f>
        <v>0</v>
      </c>
      <c r="L204" s="1080">
        <f t="shared" si="112"/>
        <v>0</v>
      </c>
      <c r="M204" s="1080">
        <f t="shared" si="112"/>
        <v>0</v>
      </c>
      <c r="N204" s="1081">
        <f t="shared" si="112"/>
        <v>0</v>
      </c>
    </row>
    <row r="205" spans="1:14" s="896" customFormat="1" ht="14.25" customHeight="1">
      <c r="A205" s="2622"/>
      <c r="B205" s="2605"/>
      <c r="C205" s="1110" t="s">
        <v>2549</v>
      </c>
      <c r="D205" s="1138">
        <f t="shared" si="107"/>
        <v>1</v>
      </c>
      <c r="E205" s="1113">
        <f>+E187</f>
        <v>0.02</v>
      </c>
      <c r="F205" s="1064">
        <f t="shared" si="108"/>
        <v>104466</v>
      </c>
      <c r="G205" s="1080">
        <f>ROUNDDOWN(G187*$E205*$D205,0)</f>
        <v>67613</v>
      </c>
      <c r="H205" s="1080">
        <f t="shared" si="112"/>
        <v>0</v>
      </c>
      <c r="I205" s="1080">
        <f t="shared" si="112"/>
        <v>6827</v>
      </c>
      <c r="J205" s="1080">
        <f t="shared" si="112"/>
        <v>21953</v>
      </c>
      <c r="K205" s="1080">
        <f>ROUNDDOWN(K187*$E205*$D205,0)</f>
        <v>8073</v>
      </c>
      <c r="L205" s="1080">
        <f t="shared" si="112"/>
        <v>0</v>
      </c>
      <c r="M205" s="1080">
        <f t="shared" si="112"/>
        <v>0</v>
      </c>
      <c r="N205" s="1081">
        <f t="shared" si="112"/>
        <v>0</v>
      </c>
    </row>
    <row r="206" spans="1:14" s="896" customFormat="1" ht="14.25" customHeight="1">
      <c r="A206" s="2622"/>
      <c r="B206" s="2605"/>
      <c r="C206" s="1110" t="s">
        <v>2629</v>
      </c>
      <c r="D206" s="1138"/>
      <c r="E206" s="1113"/>
      <c r="F206" s="1064"/>
      <c r="G206" s="1080"/>
      <c r="H206" s="1080"/>
      <c r="I206" s="1080"/>
      <c r="J206" s="1080"/>
      <c r="K206" s="1080"/>
      <c r="L206" s="1080"/>
      <c r="M206" s="1080"/>
      <c r="N206" s="1081"/>
    </row>
    <row r="207" spans="1:14" s="896" customFormat="1" ht="14.25" customHeight="1">
      <c r="A207" s="2622"/>
      <c r="B207" s="2605"/>
      <c r="C207" s="1139"/>
      <c r="D207" s="1138"/>
      <c r="E207" s="1113"/>
      <c r="F207" s="1064"/>
      <c r="G207" s="1080"/>
      <c r="H207" s="1080"/>
      <c r="I207" s="1080"/>
      <c r="J207" s="1080"/>
      <c r="K207" s="1080"/>
      <c r="L207" s="1080"/>
      <c r="M207" s="1080"/>
      <c r="N207" s="1081"/>
    </row>
    <row r="208" spans="1:14" s="896" customFormat="1" ht="14.25" customHeight="1">
      <c r="A208" s="2622"/>
      <c r="B208" s="2605"/>
      <c r="C208" s="1110" t="s">
        <v>2552</v>
      </c>
      <c r="D208" s="1138">
        <f t="shared" ref="D208:E211" si="113">+D190</f>
        <v>1</v>
      </c>
      <c r="E208" s="1113">
        <f t="shared" si="113"/>
        <v>0.02</v>
      </c>
      <c r="F208" s="1064">
        <f t="shared" ref="F208:F216" si="114">SUM(G208:N208)</f>
        <v>0</v>
      </c>
      <c r="G208" s="1080">
        <f t="shared" ref="G208:N211" si="115">ROUNDDOWN(G190*$E208*$D208,0)</f>
        <v>0</v>
      </c>
      <c r="H208" s="1080">
        <f t="shared" si="115"/>
        <v>0</v>
      </c>
      <c r="I208" s="1080">
        <f t="shared" si="115"/>
        <v>0</v>
      </c>
      <c r="J208" s="1080">
        <f t="shared" si="115"/>
        <v>0</v>
      </c>
      <c r="K208" s="1080">
        <f>ROUNDDOWN(K190*$E208*$D208,0)</f>
        <v>0</v>
      </c>
      <c r="L208" s="1080">
        <f t="shared" si="115"/>
        <v>0</v>
      </c>
      <c r="M208" s="1080">
        <f t="shared" si="115"/>
        <v>0</v>
      </c>
      <c r="N208" s="1081">
        <f t="shared" si="115"/>
        <v>0</v>
      </c>
    </row>
    <row r="209" spans="1:14" s="896" customFormat="1" ht="14.25" customHeight="1">
      <c r="A209" s="2622"/>
      <c r="B209" s="2605"/>
      <c r="C209" s="1114" t="s">
        <v>2553</v>
      </c>
      <c r="D209" s="1138">
        <f t="shared" si="113"/>
        <v>1</v>
      </c>
      <c r="E209" s="1113">
        <f t="shared" si="113"/>
        <v>0.02</v>
      </c>
      <c r="F209" s="1064">
        <f t="shared" si="114"/>
        <v>0</v>
      </c>
      <c r="G209" s="1080">
        <f t="shared" si="115"/>
        <v>0</v>
      </c>
      <c r="H209" s="1080">
        <f t="shared" si="115"/>
        <v>0</v>
      </c>
      <c r="I209" s="1080">
        <f t="shared" si="115"/>
        <v>0</v>
      </c>
      <c r="J209" s="1080">
        <f t="shared" si="115"/>
        <v>0</v>
      </c>
      <c r="K209" s="1080">
        <f>ROUNDDOWN(K191*$E209*$D209,0)</f>
        <v>0</v>
      </c>
      <c r="L209" s="1080">
        <f t="shared" si="115"/>
        <v>0</v>
      </c>
      <c r="M209" s="1080">
        <f t="shared" si="115"/>
        <v>0</v>
      </c>
      <c r="N209" s="1081">
        <f t="shared" si="115"/>
        <v>0</v>
      </c>
    </row>
    <row r="210" spans="1:14" s="896" customFormat="1" ht="14.25" customHeight="1">
      <c r="A210" s="2622"/>
      <c r="B210" s="2605"/>
      <c r="C210" s="1114" t="s">
        <v>2631</v>
      </c>
      <c r="D210" s="1138">
        <f t="shared" si="113"/>
        <v>1</v>
      </c>
      <c r="E210" s="1113">
        <f t="shared" si="113"/>
        <v>0.02</v>
      </c>
      <c r="F210" s="1064">
        <f t="shared" si="114"/>
        <v>0</v>
      </c>
      <c r="G210" s="1080">
        <f t="shared" si="115"/>
        <v>0</v>
      </c>
      <c r="H210" s="1080">
        <f t="shared" si="115"/>
        <v>0</v>
      </c>
      <c r="I210" s="1080">
        <f t="shared" si="115"/>
        <v>0</v>
      </c>
      <c r="J210" s="1080">
        <f t="shared" si="115"/>
        <v>0</v>
      </c>
      <c r="K210" s="1080">
        <f>ROUNDDOWN(K192*$E210*$D210,0)</f>
        <v>0</v>
      </c>
      <c r="L210" s="1080">
        <f t="shared" si="115"/>
        <v>0</v>
      </c>
      <c r="M210" s="1080">
        <f t="shared" si="115"/>
        <v>0</v>
      </c>
      <c r="N210" s="1081">
        <f t="shared" si="115"/>
        <v>0</v>
      </c>
    </row>
    <row r="211" spans="1:14" s="896" customFormat="1" ht="14.25" customHeight="1">
      <c r="A211" s="2622"/>
      <c r="B211" s="2606"/>
      <c r="C211" s="1110" t="s">
        <v>2661</v>
      </c>
      <c r="D211" s="1138">
        <f t="shared" si="113"/>
        <v>1</v>
      </c>
      <c r="E211" s="1113">
        <f t="shared" si="113"/>
        <v>0.02</v>
      </c>
      <c r="F211" s="1064">
        <f t="shared" si="114"/>
        <v>0</v>
      </c>
      <c r="G211" s="1080">
        <f>ROUNDDOWN(G193*$E211*$D211,0)</f>
        <v>0</v>
      </c>
      <c r="H211" s="1080">
        <f t="shared" si="115"/>
        <v>0</v>
      </c>
      <c r="I211" s="1080">
        <f t="shared" si="115"/>
        <v>0</v>
      </c>
      <c r="J211" s="1080">
        <f t="shared" si="115"/>
        <v>0</v>
      </c>
      <c r="K211" s="1080">
        <f>ROUNDDOWN(K193*$E211*$D211,0)</f>
        <v>0</v>
      </c>
      <c r="L211" s="1080">
        <f t="shared" si="115"/>
        <v>0</v>
      </c>
      <c r="M211" s="1080">
        <f t="shared" si="115"/>
        <v>0</v>
      </c>
      <c r="N211" s="1081">
        <f t="shared" si="115"/>
        <v>0</v>
      </c>
    </row>
    <row r="212" spans="1:14" s="896" customFormat="1" ht="14.25" customHeight="1">
      <c r="A212" s="2622"/>
      <c r="B212" s="2643" t="s">
        <v>2662</v>
      </c>
      <c r="C212" s="1110" t="s">
        <v>2574</v>
      </c>
      <c r="D212" s="1156"/>
      <c r="E212" s="1157"/>
      <c r="F212" s="1064">
        <f t="shared" si="114"/>
        <v>0</v>
      </c>
      <c r="G212" s="1158"/>
      <c r="H212" s="1158"/>
      <c r="I212" s="1158"/>
      <c r="J212" s="1158"/>
      <c r="K212" s="1158"/>
      <c r="L212" s="1158"/>
      <c r="M212" s="1158"/>
      <c r="N212" s="1159"/>
    </row>
    <row r="213" spans="1:14" s="896" customFormat="1" ht="14.25" customHeight="1">
      <c r="A213" s="2622"/>
      <c r="B213" s="2644"/>
      <c r="C213" s="1160" t="s">
        <v>2663</v>
      </c>
      <c r="D213" s="1156"/>
      <c r="E213" s="1157"/>
      <c r="F213" s="1064">
        <f t="shared" si="114"/>
        <v>0</v>
      </c>
      <c r="G213" s="912"/>
      <c r="H213" s="912"/>
      <c r="I213" s="912"/>
      <c r="J213" s="912"/>
      <c r="K213" s="912"/>
      <c r="L213" s="912"/>
      <c r="M213" s="912"/>
      <c r="N213" s="913"/>
    </row>
    <row r="214" spans="1:14" s="896" customFormat="1" ht="13.5" customHeight="1" thickBot="1">
      <c r="A214" s="2626"/>
      <c r="B214" s="1161" t="s">
        <v>2644</v>
      </c>
      <c r="C214" s="1154" t="s">
        <v>2659</v>
      </c>
      <c r="D214" s="1156">
        <f>+D194</f>
        <v>1</v>
      </c>
      <c r="E214" s="1157">
        <f>+E194</f>
        <v>0</v>
      </c>
      <c r="F214" s="1064">
        <f t="shared" si="114"/>
        <v>0</v>
      </c>
      <c r="G214" s="1080">
        <f>ROUNDDOWN(G194*$E214*$D214,0)</f>
        <v>0</v>
      </c>
      <c r="H214" s="1080">
        <f t="shared" ref="H214:N214" si="116">ROUNDDOWN(H194*$E214*$D214,0)</f>
        <v>0</v>
      </c>
      <c r="I214" s="1080">
        <f t="shared" si="116"/>
        <v>0</v>
      </c>
      <c r="J214" s="1080">
        <f t="shared" si="116"/>
        <v>0</v>
      </c>
      <c r="K214" s="1080">
        <f>ROUNDDOWN(K194*$E214*$D214,0)</f>
        <v>0</v>
      </c>
      <c r="L214" s="1080">
        <f t="shared" si="116"/>
        <v>0</v>
      </c>
      <c r="M214" s="1080">
        <f t="shared" si="116"/>
        <v>0</v>
      </c>
      <c r="N214" s="1162">
        <f t="shared" si="116"/>
        <v>0</v>
      </c>
    </row>
    <row r="215" spans="1:14" s="896" customFormat="1" ht="13.5" customHeight="1" thickTop="1">
      <c r="A215" s="1163"/>
      <c r="B215" s="1164"/>
      <c r="C215" s="1165" t="s">
        <v>2664</v>
      </c>
      <c r="D215" s="1166"/>
      <c r="E215" s="1167"/>
      <c r="F215" s="1168">
        <f t="shared" si="114"/>
        <v>20162722</v>
      </c>
      <c r="G215" s="1169">
        <f t="shared" ref="G215:N215" si="117">SUM(G200:G214)+G198</f>
        <v>3667017</v>
      </c>
      <c r="H215" s="1169">
        <f>SUM(H200:H214)+H198</f>
        <v>2282113</v>
      </c>
      <c r="I215" s="1169">
        <f>SUM(I200:I214)+I198</f>
        <v>221648</v>
      </c>
      <c r="J215" s="1169">
        <f t="shared" si="117"/>
        <v>12806355</v>
      </c>
      <c r="K215" s="1169">
        <f>SUM(K200:K214)+K198</f>
        <v>1185589</v>
      </c>
      <c r="L215" s="1169">
        <f t="shared" si="117"/>
        <v>0</v>
      </c>
      <c r="M215" s="1169">
        <f t="shared" si="117"/>
        <v>0</v>
      </c>
      <c r="N215" s="1170">
        <f t="shared" si="117"/>
        <v>0</v>
      </c>
    </row>
    <row r="216" spans="1:14" s="896" customFormat="1" ht="13.5" customHeight="1">
      <c r="A216" s="1171"/>
      <c r="B216" s="1172"/>
      <c r="C216" s="1072" t="s">
        <v>2665</v>
      </c>
      <c r="D216" s="1173"/>
      <c r="E216" s="945"/>
      <c r="F216" s="946">
        <f t="shared" si="114"/>
        <v>196176800</v>
      </c>
      <c r="G216" s="1073">
        <f t="shared" ref="G216:N216" si="118">+G91+G215</f>
        <v>37092902</v>
      </c>
      <c r="H216" s="1073">
        <f>+H91+H215</f>
        <v>24600996</v>
      </c>
      <c r="I216" s="1073">
        <f t="shared" si="118"/>
        <v>2353309</v>
      </c>
      <c r="J216" s="1073">
        <f t="shared" si="118"/>
        <v>120735841</v>
      </c>
      <c r="K216" s="1073">
        <f>+K91+K215</f>
        <v>11393752</v>
      </c>
      <c r="L216" s="1073">
        <f t="shared" si="118"/>
        <v>0</v>
      </c>
      <c r="M216" s="1073">
        <f t="shared" si="118"/>
        <v>0</v>
      </c>
      <c r="N216" s="1074">
        <f t="shared" si="118"/>
        <v>0</v>
      </c>
    </row>
    <row r="217" spans="1:14" s="896" customFormat="1" ht="13.5" customHeight="1">
      <c r="A217" s="1295"/>
      <c r="B217" s="1295"/>
      <c r="C217" s="924"/>
      <c r="D217" s="924"/>
      <c r="E217" s="1295"/>
      <c r="F217" s="1153"/>
      <c r="G217" s="915"/>
      <c r="H217" s="915"/>
      <c r="I217" s="915"/>
      <c r="J217" s="915"/>
      <c r="K217" s="915"/>
      <c r="L217" s="915"/>
      <c r="M217" s="915"/>
      <c r="N217" s="915"/>
    </row>
    <row r="218" spans="1:14" s="896" customFormat="1" ht="13.5" customHeight="1">
      <c r="A218" s="1295"/>
      <c r="B218" s="1295"/>
      <c r="C218" s="1099" t="s">
        <v>2666</v>
      </c>
      <c r="D218" s="1099"/>
      <c r="E218" s="923"/>
      <c r="F218" s="1042"/>
      <c r="G218" s="1100"/>
      <c r="H218" s="1046"/>
      <c r="I218" s="1046"/>
      <c r="J218" s="1046"/>
      <c r="K218" s="1046"/>
      <c r="L218" s="1046"/>
      <c r="M218" s="1046"/>
      <c r="N218" s="1100" t="s">
        <v>2667</v>
      </c>
    </row>
    <row r="219" spans="1:14" s="896" customFormat="1" ht="13.5" customHeight="1">
      <c r="A219" s="1070"/>
      <c r="B219" s="1070"/>
      <c r="C219" s="1070"/>
      <c r="D219" s="1070"/>
      <c r="E219" s="1070"/>
      <c r="F219" s="1040"/>
      <c r="G219" s="1174"/>
      <c r="H219" s="1174"/>
      <c r="I219" s="1174"/>
      <c r="J219" s="1174"/>
      <c r="K219" s="1174"/>
      <c r="L219" s="1174"/>
      <c r="M219" s="1174"/>
      <c r="N219" s="1174"/>
    </row>
    <row r="220" spans="1:14" s="896" customFormat="1" ht="13.5" customHeight="1">
      <c r="A220" s="2627"/>
      <c r="B220" s="2628"/>
      <c r="C220" s="2629"/>
      <c r="D220" s="1175"/>
      <c r="E220" s="1091" t="s">
        <v>2668</v>
      </c>
      <c r="F220" s="1092" t="s">
        <v>2517</v>
      </c>
      <c r="G220" s="1093" t="str">
        <f t="shared" ref="G220:N220" si="119">+G86</f>
        <v>工事1</v>
      </c>
      <c r="H220" s="1093" t="str">
        <f t="shared" si="119"/>
        <v>工事2</v>
      </c>
      <c r="I220" s="1093" t="str">
        <f t="shared" si="119"/>
        <v>工事3</v>
      </c>
      <c r="J220" s="1093" t="str">
        <f t="shared" si="119"/>
        <v>工事4</v>
      </c>
      <c r="K220" s="1093" t="str">
        <f t="shared" si="119"/>
        <v>工事5</v>
      </c>
      <c r="L220" s="1093">
        <f t="shared" si="119"/>
        <v>0</v>
      </c>
      <c r="M220" s="1093">
        <f t="shared" si="119"/>
        <v>0</v>
      </c>
      <c r="N220" s="1094">
        <f t="shared" si="119"/>
        <v>0</v>
      </c>
    </row>
    <row r="221" spans="1:14" s="896" customFormat="1" ht="13.5" customHeight="1" thickBot="1">
      <c r="A221" s="2630"/>
      <c r="B221" s="2631"/>
      <c r="C221" s="2632"/>
      <c r="D221" s="1176"/>
      <c r="E221" s="1177"/>
      <c r="F221" s="1053"/>
      <c r="G221" s="1178"/>
      <c r="H221" s="1178"/>
      <c r="I221" s="1178"/>
      <c r="J221" s="1178"/>
      <c r="K221" s="1178"/>
      <c r="L221" s="1178"/>
      <c r="M221" s="1178"/>
      <c r="N221" s="1179"/>
    </row>
    <row r="222" spans="1:14" s="896" customFormat="1" ht="13.5" customHeight="1" thickBot="1">
      <c r="A222" s="1180"/>
      <c r="B222" s="1181"/>
      <c r="C222" s="1182" t="s">
        <v>2669</v>
      </c>
      <c r="D222" s="1183"/>
      <c r="E222" s="1184"/>
      <c r="F222" s="1185">
        <f>SUM(G222:N222)</f>
        <v>196176800</v>
      </c>
      <c r="G222" s="1186">
        <f t="shared" ref="G222:N222" si="120">IF(G223="",+G216,0)</f>
        <v>37092902</v>
      </c>
      <c r="H222" s="1186">
        <f t="shared" si="120"/>
        <v>24600996</v>
      </c>
      <c r="I222" s="1186">
        <f t="shared" si="120"/>
        <v>2353309</v>
      </c>
      <c r="J222" s="1186">
        <f t="shared" si="120"/>
        <v>120735841</v>
      </c>
      <c r="K222" s="1186">
        <f t="shared" si="120"/>
        <v>11393752</v>
      </c>
      <c r="L222" s="1186">
        <f t="shared" si="120"/>
        <v>0</v>
      </c>
      <c r="M222" s="1186">
        <f t="shared" si="120"/>
        <v>0</v>
      </c>
      <c r="N222" s="1187">
        <f t="shared" si="120"/>
        <v>0</v>
      </c>
    </row>
    <row r="223" spans="1:14" s="896" customFormat="1" ht="13.5" customHeight="1">
      <c r="A223" s="1294"/>
      <c r="B223" s="1295"/>
      <c r="C223" s="1188" t="s">
        <v>2670</v>
      </c>
      <c r="D223" s="1189"/>
      <c r="E223" s="1190"/>
      <c r="F223" s="926">
        <f>SUM(G223:N223)</f>
        <v>0</v>
      </c>
      <c r="G223" s="926" t="str">
        <f>IF(G245="","",G216)</f>
        <v/>
      </c>
      <c r="H223" s="926" t="str">
        <f t="shared" ref="H223:N223" si="121">IF(H245="","",H216)</f>
        <v/>
      </c>
      <c r="I223" s="926" t="str">
        <f>IF(I245="","",I216)</f>
        <v/>
      </c>
      <c r="J223" s="926" t="str">
        <f t="shared" si="121"/>
        <v/>
      </c>
      <c r="K223" s="926" t="str">
        <f t="shared" si="121"/>
        <v/>
      </c>
      <c r="L223" s="926" t="str">
        <f t="shared" si="121"/>
        <v/>
      </c>
      <c r="M223" s="926" t="str">
        <f t="shared" si="121"/>
        <v/>
      </c>
      <c r="N223" s="1191" t="str">
        <f t="shared" si="121"/>
        <v/>
      </c>
    </row>
    <row r="224" spans="1:14" s="896" customFormat="1" ht="13.5" customHeight="1">
      <c r="A224" s="1171"/>
      <c r="B224" s="1172"/>
      <c r="C224" s="2633" t="s">
        <v>2671</v>
      </c>
      <c r="D224" s="2633"/>
      <c r="E224" s="2634"/>
      <c r="F224" s="946">
        <f>F222+F223-F232</f>
        <v>196176800</v>
      </c>
      <c r="G224" s="1073"/>
      <c r="H224" s="1073"/>
      <c r="I224" s="1073"/>
      <c r="J224" s="1073"/>
      <c r="K224" s="1073"/>
      <c r="L224" s="1073"/>
      <c r="M224" s="1073"/>
      <c r="N224" s="1074"/>
    </row>
    <row r="225" spans="1:14" s="896" customFormat="1" ht="13.5" customHeight="1">
      <c r="A225" s="877"/>
      <c r="B225" s="878"/>
      <c r="C225" s="878"/>
      <c r="D225" s="1192"/>
      <c r="E225" s="881" t="str">
        <f>E86</f>
        <v>無し</v>
      </c>
      <c r="F225" s="2635" t="s">
        <v>2672</v>
      </c>
      <c r="G225" s="2636"/>
      <c r="H225" s="1077"/>
      <c r="I225" s="1077"/>
      <c r="J225" s="1077"/>
      <c r="K225" s="1077"/>
      <c r="L225" s="1077"/>
      <c r="M225" s="1077"/>
      <c r="N225" s="1078"/>
    </row>
    <row r="226" spans="1:14" s="896" customFormat="1" ht="13.5" customHeight="1">
      <c r="A226" s="2637" t="s">
        <v>2673</v>
      </c>
      <c r="B226" s="2638"/>
      <c r="C226" s="2639"/>
      <c r="D226" s="1193"/>
      <c r="E226" s="1194" t="str">
        <f>+E87</f>
        <v>有り</v>
      </c>
      <c r="F226" s="2640" t="s">
        <v>2674</v>
      </c>
      <c r="G226" s="2641"/>
      <c r="H226" s="1073"/>
      <c r="I226" s="1073"/>
      <c r="J226" s="1073"/>
      <c r="K226" s="1073"/>
      <c r="L226" s="1073"/>
      <c r="M226" s="1073"/>
      <c r="N226" s="1074"/>
    </row>
    <row r="227" spans="1:14" s="896" customFormat="1" ht="13.5" customHeight="1">
      <c r="A227" s="2642"/>
      <c r="B227" s="1195" t="s">
        <v>161</v>
      </c>
      <c r="C227" s="1196" t="s">
        <v>2675</v>
      </c>
      <c r="D227" s="1197">
        <v>1</v>
      </c>
      <c r="E227" s="1198">
        <f>+G296/100</f>
        <v>0.12179999999999999</v>
      </c>
      <c r="F227" s="907">
        <f>SUM(G227:N227)</f>
        <v>196176800</v>
      </c>
      <c r="G227" s="1077">
        <f>+G222-G232</f>
        <v>37092902</v>
      </c>
      <c r="H227" s="1077">
        <f t="shared" ref="H227:N227" si="122">+H222-H232</f>
        <v>24600996</v>
      </c>
      <c r="I227" s="1077">
        <f>+I222-I232</f>
        <v>2353309</v>
      </c>
      <c r="J227" s="1077">
        <f t="shared" si="122"/>
        <v>120735841</v>
      </c>
      <c r="K227" s="1077">
        <f t="shared" si="122"/>
        <v>11393752</v>
      </c>
      <c r="L227" s="1077">
        <f t="shared" si="122"/>
        <v>0</v>
      </c>
      <c r="M227" s="1077">
        <f t="shared" si="122"/>
        <v>0</v>
      </c>
      <c r="N227" s="1078">
        <f t="shared" si="122"/>
        <v>0</v>
      </c>
    </row>
    <row r="228" spans="1:14" s="896" customFormat="1" ht="13.5" customHeight="1">
      <c r="A228" s="2602"/>
      <c r="B228" s="2607" t="s">
        <v>2676</v>
      </c>
      <c r="C228" s="910" t="s">
        <v>2677</v>
      </c>
      <c r="D228" s="1138">
        <v>0.05</v>
      </c>
      <c r="E228" s="1113">
        <f>IF(OR(G83="無し",G83="なし"),IF(E225="無し",E227,0),0)</f>
        <v>0.12179999999999999</v>
      </c>
      <c r="F228" s="911">
        <f>SUM(G228:N228)</f>
        <v>196176800</v>
      </c>
      <c r="G228" s="912">
        <f>IF(G245=0,+G227,0)</f>
        <v>37092902</v>
      </c>
      <c r="H228" s="912">
        <f>IF(H245=0,+H227,0)</f>
        <v>24600996</v>
      </c>
      <c r="I228" s="912">
        <f t="shared" ref="I228:N228" si="123">IF(I245=0,+I227,0)</f>
        <v>2353309</v>
      </c>
      <c r="J228" s="912">
        <f t="shared" si="123"/>
        <v>120735841</v>
      </c>
      <c r="K228" s="912">
        <f t="shared" si="123"/>
        <v>11393752</v>
      </c>
      <c r="L228" s="912">
        <f t="shared" si="123"/>
        <v>0</v>
      </c>
      <c r="M228" s="912">
        <f t="shared" si="123"/>
        <v>0</v>
      </c>
      <c r="N228" s="913">
        <f t="shared" si="123"/>
        <v>0</v>
      </c>
    </row>
    <row r="229" spans="1:14" s="896" customFormat="1" ht="13.5" customHeight="1">
      <c r="A229" s="2602"/>
      <c r="B229" s="2606"/>
      <c r="C229" s="910" t="s">
        <v>2678</v>
      </c>
      <c r="D229" s="1199">
        <v>1</v>
      </c>
      <c r="E229" s="1113">
        <f>IF(OR(E226="無し",E226="なし"),0,0.0004)</f>
        <v>4.0000000000000002E-4</v>
      </c>
      <c r="F229" s="911">
        <f>SUM(G229:N229)</f>
        <v>196176800</v>
      </c>
      <c r="G229" s="912">
        <f>IF(G245=0,+G227,0)</f>
        <v>37092902</v>
      </c>
      <c r="H229" s="912">
        <f t="shared" ref="H229:N229" si="124">IF(H245=0,+H227,0)</f>
        <v>24600996</v>
      </c>
      <c r="I229" s="912">
        <f t="shared" si="124"/>
        <v>2353309</v>
      </c>
      <c r="J229" s="912">
        <f t="shared" si="124"/>
        <v>120735841</v>
      </c>
      <c r="K229" s="912">
        <f t="shared" si="124"/>
        <v>11393752</v>
      </c>
      <c r="L229" s="912">
        <f t="shared" si="124"/>
        <v>0</v>
      </c>
      <c r="M229" s="912">
        <f t="shared" si="124"/>
        <v>0</v>
      </c>
      <c r="N229" s="913">
        <f t="shared" si="124"/>
        <v>0</v>
      </c>
    </row>
    <row r="230" spans="1:14" s="896" customFormat="1" ht="13.5" customHeight="1">
      <c r="A230" s="2602"/>
      <c r="B230" s="1200"/>
      <c r="C230" s="910"/>
      <c r="D230" s="1201"/>
      <c r="E230" s="1201"/>
      <c r="F230" s="911"/>
      <c r="G230" s="912"/>
      <c r="H230" s="912"/>
      <c r="I230" s="912"/>
      <c r="J230" s="912"/>
      <c r="K230" s="912"/>
      <c r="L230" s="912"/>
      <c r="M230" s="912"/>
      <c r="N230" s="913"/>
    </row>
    <row r="231" spans="1:14" s="896" customFormat="1" ht="13.5" customHeight="1">
      <c r="A231" s="2602"/>
      <c r="B231" s="1200"/>
      <c r="C231" s="910"/>
      <c r="D231" s="1201"/>
      <c r="E231" s="1201"/>
      <c r="F231" s="911"/>
      <c r="G231" s="912"/>
      <c r="H231" s="912"/>
      <c r="I231" s="912"/>
      <c r="J231" s="912"/>
      <c r="K231" s="912"/>
      <c r="L231" s="912"/>
      <c r="M231" s="912"/>
      <c r="N231" s="913"/>
    </row>
    <row r="232" spans="1:14" s="896" customFormat="1" ht="13.5" customHeight="1">
      <c r="A232" s="2602"/>
      <c r="B232" s="2607" t="s">
        <v>2679</v>
      </c>
      <c r="C232" s="1110" t="str">
        <f>+C136</f>
        <v>(17)下水道使用料、各種負担金（共通仮設）</v>
      </c>
      <c r="D232" s="1202">
        <v>1</v>
      </c>
      <c r="E232" s="1203">
        <v>0</v>
      </c>
      <c r="F232" s="911">
        <f>SUM(G232:N232)</f>
        <v>0</v>
      </c>
      <c r="G232" s="912">
        <f>+G136</f>
        <v>0</v>
      </c>
      <c r="H232" s="912">
        <f t="shared" ref="H232:N232" si="125">+H136</f>
        <v>0</v>
      </c>
      <c r="I232" s="912">
        <f t="shared" si="125"/>
        <v>0</v>
      </c>
      <c r="J232" s="912">
        <f t="shared" si="125"/>
        <v>0</v>
      </c>
      <c r="K232" s="912">
        <f>+K136</f>
        <v>0</v>
      </c>
      <c r="L232" s="912">
        <f t="shared" si="125"/>
        <v>0</v>
      </c>
      <c r="M232" s="912">
        <f t="shared" si="125"/>
        <v>0</v>
      </c>
      <c r="N232" s="913">
        <f t="shared" si="125"/>
        <v>0</v>
      </c>
    </row>
    <row r="233" spans="1:14" s="896" customFormat="1" ht="13.5" customHeight="1">
      <c r="A233" s="2602"/>
      <c r="B233" s="2605"/>
      <c r="C233" s="1204"/>
      <c r="D233" s="1110"/>
      <c r="E233" s="1203"/>
      <c r="F233" s="911"/>
      <c r="G233" s="912"/>
      <c r="H233" s="912"/>
      <c r="I233" s="912"/>
      <c r="J233" s="912"/>
      <c r="K233" s="912"/>
      <c r="L233" s="912"/>
      <c r="M233" s="912"/>
      <c r="N233" s="913"/>
    </row>
    <row r="234" spans="1:14" s="896" customFormat="1" ht="13.5" customHeight="1">
      <c r="A234" s="2603"/>
      <c r="B234" s="2608"/>
      <c r="C234" s="1205"/>
      <c r="D234" s="1154"/>
      <c r="E234" s="1206"/>
      <c r="F234" s="946"/>
      <c r="G234" s="1073"/>
      <c r="H234" s="1073"/>
      <c r="I234" s="1073"/>
      <c r="J234" s="1073"/>
      <c r="K234" s="1073"/>
      <c r="L234" s="1073"/>
      <c r="M234" s="1073"/>
      <c r="N234" s="1074"/>
    </row>
    <row r="235" spans="1:14" s="896" customFormat="1" ht="13.5" customHeight="1">
      <c r="A235" s="877"/>
      <c r="B235" s="878"/>
      <c r="C235" s="1207"/>
      <c r="D235" s="1208"/>
      <c r="E235" s="1209"/>
      <c r="F235" s="907"/>
      <c r="G235" s="1077"/>
      <c r="H235" s="1077"/>
      <c r="I235" s="1077"/>
      <c r="J235" s="1077"/>
      <c r="K235" s="1077"/>
      <c r="L235" s="1077"/>
      <c r="M235" s="1077"/>
      <c r="N235" s="1078"/>
    </row>
    <row r="236" spans="1:14" s="896" customFormat="1" ht="13.5" customHeight="1">
      <c r="A236" s="2637" t="s">
        <v>2680</v>
      </c>
      <c r="B236" s="2638"/>
      <c r="C236" s="2639"/>
      <c r="D236" s="1210"/>
      <c r="E236" s="1211"/>
      <c r="F236" s="1212"/>
      <c r="G236" s="1073"/>
      <c r="H236" s="1073"/>
      <c r="I236" s="1073"/>
      <c r="J236" s="1073"/>
      <c r="K236" s="1073"/>
      <c r="L236" s="1073"/>
      <c r="M236" s="1073"/>
      <c r="N236" s="1074"/>
    </row>
    <row r="237" spans="1:14" s="896" customFormat="1" ht="13.5" customHeight="1">
      <c r="A237" s="1294"/>
      <c r="B237" s="1213" t="s">
        <v>161</v>
      </c>
      <c r="C237" s="1196" t="s">
        <v>2675</v>
      </c>
      <c r="D237" s="1197">
        <f t="shared" ref="D237:E239" si="126">+D227</f>
        <v>1</v>
      </c>
      <c r="E237" s="1214">
        <f>+E227</f>
        <v>0.12179999999999999</v>
      </c>
      <c r="F237" s="911">
        <f>INT(D237*E237*F227)</f>
        <v>23894334</v>
      </c>
      <c r="G237" s="1077">
        <f>F237-SUM(H237:N237)</f>
        <v>4517916</v>
      </c>
      <c r="H237" s="1077">
        <f>IF(H227=0,0,ROUND($F237/$F227*H227,0))</f>
        <v>2996401</v>
      </c>
      <c r="I237" s="1077">
        <f t="shared" ref="H237:N239" si="127">IF(I227=0,0,ROUND($F237/$F227*I227,0))</f>
        <v>286633</v>
      </c>
      <c r="J237" s="1077">
        <f t="shared" si="127"/>
        <v>14705625</v>
      </c>
      <c r="K237" s="1077">
        <f t="shared" si="127"/>
        <v>1387759</v>
      </c>
      <c r="L237" s="1077">
        <f t="shared" si="127"/>
        <v>0</v>
      </c>
      <c r="M237" s="1077">
        <f t="shared" si="127"/>
        <v>0</v>
      </c>
      <c r="N237" s="1078">
        <f t="shared" si="127"/>
        <v>0</v>
      </c>
    </row>
    <row r="238" spans="1:14" s="896" customFormat="1" ht="13.5" customHeight="1">
      <c r="A238" s="1294"/>
      <c r="B238" s="2607" t="s">
        <v>2676</v>
      </c>
      <c r="C238" s="910" t="s">
        <v>2677</v>
      </c>
      <c r="D238" s="1202">
        <f t="shared" si="126"/>
        <v>0.05</v>
      </c>
      <c r="E238" s="1113">
        <f t="shared" si="126"/>
        <v>0.12179999999999999</v>
      </c>
      <c r="F238" s="911">
        <f>INT(D238*E238*F228)</f>
        <v>1194716</v>
      </c>
      <c r="G238" s="912">
        <f>F238-SUM(H238:N238)</f>
        <v>225895</v>
      </c>
      <c r="H238" s="912">
        <f t="shared" si="127"/>
        <v>149820</v>
      </c>
      <c r="I238" s="912">
        <f t="shared" si="127"/>
        <v>14332</v>
      </c>
      <c r="J238" s="912">
        <f t="shared" si="127"/>
        <v>735281</v>
      </c>
      <c r="K238" s="912">
        <f t="shared" si="127"/>
        <v>69388</v>
      </c>
      <c r="L238" s="912">
        <f t="shared" si="127"/>
        <v>0</v>
      </c>
      <c r="M238" s="912">
        <f t="shared" si="127"/>
        <v>0</v>
      </c>
      <c r="N238" s="913">
        <f t="shared" si="127"/>
        <v>0</v>
      </c>
    </row>
    <row r="239" spans="1:14" s="896" customFormat="1" ht="13.5" customHeight="1">
      <c r="A239" s="1294"/>
      <c r="B239" s="2606"/>
      <c r="C239" s="910" t="s">
        <v>2678</v>
      </c>
      <c r="D239" s="1202">
        <f t="shared" si="126"/>
        <v>1</v>
      </c>
      <c r="E239" s="1113">
        <f t="shared" si="126"/>
        <v>4.0000000000000002E-4</v>
      </c>
      <c r="F239" s="911">
        <f>INT(D239*E239*F229)</f>
        <v>78470</v>
      </c>
      <c r="G239" s="912">
        <f>F239-SUM(H239:N239)</f>
        <v>14838</v>
      </c>
      <c r="H239" s="912">
        <f>IF(H229=0,0,ROUND($F239/$F229*H229,0))</f>
        <v>9840</v>
      </c>
      <c r="I239" s="912">
        <f t="shared" si="127"/>
        <v>941</v>
      </c>
      <c r="J239" s="912">
        <f t="shared" si="127"/>
        <v>48294</v>
      </c>
      <c r="K239" s="912">
        <f t="shared" si="127"/>
        <v>4557</v>
      </c>
      <c r="L239" s="912">
        <f t="shared" si="127"/>
        <v>0</v>
      </c>
      <c r="M239" s="912">
        <f t="shared" si="127"/>
        <v>0</v>
      </c>
      <c r="N239" s="913">
        <f t="shared" si="127"/>
        <v>0</v>
      </c>
    </row>
    <row r="240" spans="1:14" s="896" customFormat="1" ht="13.5" customHeight="1">
      <c r="A240" s="1294"/>
      <c r="B240" s="1200"/>
      <c r="C240" s="910"/>
      <c r="D240" s="1201"/>
      <c r="E240" s="1201"/>
      <c r="F240" s="911"/>
      <c r="G240" s="912"/>
      <c r="H240" s="912"/>
      <c r="I240" s="912"/>
      <c r="J240" s="912"/>
      <c r="K240" s="912"/>
      <c r="L240" s="912"/>
      <c r="M240" s="912"/>
      <c r="N240" s="913"/>
    </row>
    <row r="241" spans="1:14" s="896" customFormat="1" ht="13.5" customHeight="1">
      <c r="A241" s="1294"/>
      <c r="B241" s="1200"/>
      <c r="C241" s="910"/>
      <c r="D241" s="1201"/>
      <c r="E241" s="1201"/>
      <c r="F241" s="911"/>
      <c r="G241" s="912"/>
      <c r="H241" s="912"/>
      <c r="I241" s="912"/>
      <c r="J241" s="912"/>
      <c r="K241" s="912"/>
      <c r="L241" s="912"/>
      <c r="M241" s="912"/>
      <c r="N241" s="913"/>
    </row>
    <row r="242" spans="1:14" s="896" customFormat="1" ht="13.5" customHeight="1">
      <c r="A242" s="1294"/>
      <c r="B242" s="2607" t="s">
        <v>2679</v>
      </c>
      <c r="C242" s="1110" t="str">
        <f>+C136</f>
        <v>(17)下水道使用料、各種負担金（共通仮設）</v>
      </c>
      <c r="D242" s="1202">
        <f>+D232</f>
        <v>1</v>
      </c>
      <c r="E242" s="1113">
        <f>+E232</f>
        <v>0</v>
      </c>
      <c r="F242" s="911">
        <f>INT(D242*E242*F232)</f>
        <v>0</v>
      </c>
      <c r="G242" s="912">
        <f>F242-SUM(H242:N242)</f>
        <v>0</v>
      </c>
      <c r="H242" s="912">
        <f t="shared" ref="H242:N242" si="128">IF(H232=0,0,ROUND($F242/$F232*H232,0))</f>
        <v>0</v>
      </c>
      <c r="I242" s="912">
        <f t="shared" si="128"/>
        <v>0</v>
      </c>
      <c r="J242" s="912">
        <f t="shared" si="128"/>
        <v>0</v>
      </c>
      <c r="K242" s="912">
        <f>IF(K232=0,0,ROUND($F242/$F232*K232,0))</f>
        <v>0</v>
      </c>
      <c r="L242" s="912">
        <f t="shared" si="128"/>
        <v>0</v>
      </c>
      <c r="M242" s="912">
        <f t="shared" si="128"/>
        <v>0</v>
      </c>
      <c r="N242" s="913">
        <f t="shared" si="128"/>
        <v>0</v>
      </c>
    </row>
    <row r="243" spans="1:14" s="896" customFormat="1" ht="13.5" customHeight="1">
      <c r="A243" s="1294"/>
      <c r="B243" s="2605"/>
      <c r="C243" s="1204"/>
      <c r="D243" s="1110"/>
      <c r="E243" s="1201">
        <f>+G234</f>
        <v>0</v>
      </c>
      <c r="F243" s="911"/>
      <c r="G243" s="912"/>
      <c r="H243" s="912"/>
      <c r="I243" s="912"/>
      <c r="J243" s="912"/>
      <c r="K243" s="912"/>
      <c r="L243" s="912"/>
      <c r="M243" s="912"/>
      <c r="N243" s="913"/>
    </row>
    <row r="244" spans="1:14" s="896" customFormat="1" ht="13.5" customHeight="1">
      <c r="A244" s="1215"/>
      <c r="B244" s="2606"/>
      <c r="C244" s="1204"/>
      <c r="D244" s="1110"/>
      <c r="E244" s="1201">
        <f>+G235</f>
        <v>0</v>
      </c>
      <c r="F244" s="911"/>
      <c r="G244" s="912"/>
      <c r="H244" s="912"/>
      <c r="I244" s="912"/>
      <c r="J244" s="912"/>
      <c r="K244" s="912"/>
      <c r="L244" s="912"/>
      <c r="M244" s="912"/>
      <c r="N244" s="913"/>
    </row>
    <row r="245" spans="1:14" s="896" customFormat="1" ht="13.5" customHeight="1">
      <c r="A245" s="1215"/>
      <c r="B245" s="2643" t="s">
        <v>2662</v>
      </c>
      <c r="C245" s="1129" t="s">
        <v>2681</v>
      </c>
      <c r="D245" s="1216"/>
      <c r="E245" s="1217"/>
      <c r="F245" s="1218">
        <f>SUM(G245:N245)</f>
        <v>0</v>
      </c>
      <c r="G245" s="1219"/>
      <c r="H245" s="1219"/>
      <c r="I245" s="1219"/>
      <c r="J245" s="1219"/>
      <c r="K245" s="1219"/>
      <c r="L245" s="1219"/>
      <c r="M245" s="1219"/>
      <c r="N245" s="1220"/>
    </row>
    <row r="246" spans="1:14" s="896" customFormat="1" ht="13.5" customHeight="1">
      <c r="A246" s="1294"/>
      <c r="B246" s="2659"/>
      <c r="C246" s="1221" t="s">
        <v>2682</v>
      </c>
      <c r="D246" s="1156"/>
      <c r="E246" s="1157"/>
      <c r="F246" s="1064"/>
      <c r="G246" s="912"/>
      <c r="H246" s="912"/>
      <c r="I246" s="912"/>
      <c r="J246" s="912" t="s">
        <v>2683</v>
      </c>
      <c r="K246" s="912"/>
      <c r="L246" s="912"/>
      <c r="M246" s="912"/>
      <c r="N246" s="913"/>
    </row>
    <row r="247" spans="1:14" s="896" customFormat="1" ht="13.5" customHeight="1">
      <c r="A247" s="1180"/>
      <c r="B247" s="1181"/>
      <c r="C247" s="1181"/>
      <c r="D247" s="882"/>
      <c r="E247" s="882"/>
      <c r="F247" s="907"/>
      <c r="G247" s="1077"/>
      <c r="H247" s="1077"/>
      <c r="I247" s="1077"/>
      <c r="J247" s="1077"/>
      <c r="K247" s="1077"/>
      <c r="L247" s="1077"/>
      <c r="M247" s="1077"/>
      <c r="N247" s="1078"/>
    </row>
    <row r="248" spans="1:14" s="896" customFormat="1" ht="13.5" customHeight="1">
      <c r="A248" s="1222"/>
      <c r="B248" s="1082"/>
      <c r="C248" s="701" t="s">
        <v>2684</v>
      </c>
      <c r="D248" s="1204"/>
      <c r="E248" s="910"/>
      <c r="F248" s="911">
        <f>SUM(G248:N248)</f>
        <v>25167520</v>
      </c>
      <c r="G248" s="912">
        <f t="shared" ref="G248:N248" si="129">SUM(G237:G246)</f>
        <v>4758649</v>
      </c>
      <c r="H248" s="912">
        <f t="shared" si="129"/>
        <v>3156061</v>
      </c>
      <c r="I248" s="912">
        <f t="shared" si="129"/>
        <v>301906</v>
      </c>
      <c r="J248" s="912">
        <f t="shared" si="129"/>
        <v>15489200</v>
      </c>
      <c r="K248" s="912">
        <f t="shared" si="129"/>
        <v>1461704</v>
      </c>
      <c r="L248" s="912">
        <f t="shared" si="129"/>
        <v>0</v>
      </c>
      <c r="M248" s="912">
        <f t="shared" si="129"/>
        <v>0</v>
      </c>
      <c r="N248" s="913">
        <f t="shared" si="129"/>
        <v>0</v>
      </c>
    </row>
    <row r="249" spans="1:14" s="896" customFormat="1" ht="13.5" customHeight="1">
      <c r="A249" s="1222"/>
      <c r="B249" s="1082"/>
      <c r="C249" s="701" t="s">
        <v>2665</v>
      </c>
      <c r="D249" s="1204"/>
      <c r="E249" s="910"/>
      <c r="F249" s="911">
        <f>SUM(G249:N249)</f>
        <v>196176800</v>
      </c>
      <c r="G249" s="912">
        <f t="shared" ref="G249:N249" si="130">+G216</f>
        <v>37092902</v>
      </c>
      <c r="H249" s="912">
        <f t="shared" si="130"/>
        <v>24600996</v>
      </c>
      <c r="I249" s="912">
        <f t="shared" si="130"/>
        <v>2353309</v>
      </c>
      <c r="J249" s="912">
        <f t="shared" si="130"/>
        <v>120735841</v>
      </c>
      <c r="K249" s="912">
        <f t="shared" si="130"/>
        <v>11393752</v>
      </c>
      <c r="L249" s="912">
        <f t="shared" si="130"/>
        <v>0</v>
      </c>
      <c r="M249" s="912">
        <f t="shared" si="130"/>
        <v>0</v>
      </c>
      <c r="N249" s="913">
        <f t="shared" si="130"/>
        <v>0</v>
      </c>
    </row>
    <row r="250" spans="1:14" s="896" customFormat="1" ht="13.5" customHeight="1" thickBot="1">
      <c r="A250" s="1223"/>
      <c r="B250" s="1224"/>
      <c r="C250" s="1225" t="s">
        <v>2685</v>
      </c>
      <c r="D250" s="1226"/>
      <c r="E250" s="1227"/>
      <c r="F250" s="1144">
        <f>SUM(G250:N250)</f>
        <v>221344320</v>
      </c>
      <c r="G250" s="1228">
        <f>SUM(G248:G249)</f>
        <v>41851551</v>
      </c>
      <c r="H250" s="1228">
        <f t="shared" ref="H250:N250" si="131">SUM(H248:H249)</f>
        <v>27757057</v>
      </c>
      <c r="I250" s="1228">
        <f t="shared" si="131"/>
        <v>2655215</v>
      </c>
      <c r="J250" s="1228">
        <f t="shared" si="131"/>
        <v>136225041</v>
      </c>
      <c r="K250" s="1228">
        <f>SUM(K248:K249)</f>
        <v>12855456</v>
      </c>
      <c r="L250" s="1228">
        <f t="shared" si="131"/>
        <v>0</v>
      </c>
      <c r="M250" s="1228">
        <f t="shared" si="131"/>
        <v>0</v>
      </c>
      <c r="N250" s="1229">
        <f t="shared" si="131"/>
        <v>0</v>
      </c>
    </row>
    <row r="251" spans="1:14" s="896" customFormat="1" ht="13.5" customHeight="1" thickTop="1">
      <c r="A251" s="1294"/>
      <c r="B251" s="1295"/>
      <c r="C251" s="1295"/>
      <c r="D251" s="925"/>
      <c r="E251" s="925"/>
      <c r="F251" s="926"/>
      <c r="G251" s="1230">
        <f t="shared" ref="G251:N251" si="132">ROUNDDOWN(G250,-3)</f>
        <v>41851000</v>
      </c>
      <c r="H251" s="1230">
        <f>ROUNDDOWN(H250,-3)</f>
        <v>27757000</v>
      </c>
      <c r="I251" s="1230">
        <f t="shared" si="132"/>
        <v>2655000</v>
      </c>
      <c r="J251" s="1230">
        <f t="shared" si="132"/>
        <v>136225000</v>
      </c>
      <c r="K251" s="1230">
        <f>ROUNDDOWN(K250,-3)</f>
        <v>12855000</v>
      </c>
      <c r="L251" s="1230">
        <f t="shared" si="132"/>
        <v>0</v>
      </c>
      <c r="M251" s="1230">
        <f t="shared" si="132"/>
        <v>0</v>
      </c>
      <c r="N251" s="1231">
        <f t="shared" si="132"/>
        <v>0</v>
      </c>
    </row>
    <row r="252" spans="1:14" s="896" customFormat="1" ht="13.5" customHeight="1">
      <c r="A252" s="1222"/>
      <c r="B252" s="1082"/>
      <c r="C252" s="701" t="s">
        <v>2665</v>
      </c>
      <c r="D252" s="1204"/>
      <c r="E252" s="910"/>
      <c r="F252" s="911">
        <f>SUM(G252:N252)</f>
        <v>196176800</v>
      </c>
      <c r="G252" s="912">
        <f t="shared" ref="G252:N252" si="133">+G249</f>
        <v>37092902</v>
      </c>
      <c r="H252" s="912">
        <f t="shared" si="133"/>
        <v>24600996</v>
      </c>
      <c r="I252" s="912">
        <f>+I249</f>
        <v>2353309</v>
      </c>
      <c r="J252" s="912">
        <f>+J249</f>
        <v>120735841</v>
      </c>
      <c r="K252" s="912">
        <f>+K249</f>
        <v>11393752</v>
      </c>
      <c r="L252" s="912">
        <f t="shared" si="133"/>
        <v>0</v>
      </c>
      <c r="M252" s="912">
        <f t="shared" si="133"/>
        <v>0</v>
      </c>
      <c r="N252" s="913">
        <f t="shared" si="133"/>
        <v>0</v>
      </c>
    </row>
    <row r="253" spans="1:14" s="896" customFormat="1" ht="13.5" customHeight="1">
      <c r="A253" s="1222"/>
      <c r="B253" s="1082"/>
      <c r="C253" s="701" t="s">
        <v>2686</v>
      </c>
      <c r="D253" s="1204"/>
      <c r="E253" s="1201"/>
      <c r="F253" s="911">
        <f>SUM(G253:N253)</f>
        <v>25123200</v>
      </c>
      <c r="G253" s="912">
        <f t="shared" ref="G253:N253" si="134">+G248-(G250-G255)</f>
        <v>4749098</v>
      </c>
      <c r="H253" s="912">
        <f>+H248-(H250-H255)</f>
        <v>3151004</v>
      </c>
      <c r="I253" s="912">
        <f t="shared" si="134"/>
        <v>300691</v>
      </c>
      <c r="J253" s="912">
        <f>+J248-(J250-J255)</f>
        <v>15463159</v>
      </c>
      <c r="K253" s="912">
        <f>+K248-(K250-K255)</f>
        <v>1459248</v>
      </c>
      <c r="L253" s="912">
        <f t="shared" si="134"/>
        <v>0</v>
      </c>
      <c r="M253" s="912">
        <f t="shared" si="134"/>
        <v>0</v>
      </c>
      <c r="N253" s="913">
        <f t="shared" si="134"/>
        <v>0</v>
      </c>
    </row>
    <row r="254" spans="1:14" s="896" customFormat="1" ht="13.5" customHeight="1">
      <c r="A254" s="1222"/>
      <c r="B254" s="1082"/>
      <c r="C254" s="1082"/>
      <c r="D254" s="910"/>
      <c r="E254" s="1232">
        <f>SUM(G251:N251)</f>
        <v>221343000</v>
      </c>
      <c r="F254" s="911" t="s">
        <v>2687</v>
      </c>
      <c r="G254" s="912">
        <f t="shared" ref="G254:N254" si="135">+G248-G253</f>
        <v>9551</v>
      </c>
      <c r="H254" s="912">
        <f t="shared" si="135"/>
        <v>5057</v>
      </c>
      <c r="I254" s="912">
        <f t="shared" si="135"/>
        <v>1215</v>
      </c>
      <c r="J254" s="912">
        <f t="shared" si="135"/>
        <v>26041</v>
      </c>
      <c r="K254" s="912">
        <f>+K248-K253</f>
        <v>2456</v>
      </c>
      <c r="L254" s="912">
        <f t="shared" si="135"/>
        <v>0</v>
      </c>
      <c r="M254" s="1233">
        <f t="shared" si="135"/>
        <v>0</v>
      </c>
      <c r="N254" s="1234">
        <f t="shared" si="135"/>
        <v>0</v>
      </c>
    </row>
    <row r="255" spans="1:14" s="896" customFormat="1" ht="13.5" customHeight="1">
      <c r="A255" s="1235"/>
      <c r="B255" s="1063"/>
      <c r="C255" s="1063" t="s">
        <v>2688</v>
      </c>
      <c r="D255" s="1236"/>
      <c r="E255" s="1232">
        <f>ROUNDDOWN(E254,4-LEN(E254))</f>
        <v>221300000</v>
      </c>
      <c r="F255" s="1237">
        <f>+E255</f>
        <v>221300000</v>
      </c>
      <c r="G255" s="1233">
        <f>IF(F256+SUM(H255:N255)=F255,F256,F255-SUM(H255:N255))</f>
        <v>41842000</v>
      </c>
      <c r="H255" s="1233">
        <f t="shared" ref="H255:N255" si="136">IF(H245="",+H251-ROUND($E$256*H250/$F$250,-3),H250)</f>
        <v>27752000</v>
      </c>
      <c r="I255" s="1233">
        <f t="shared" si="136"/>
        <v>2654000</v>
      </c>
      <c r="J255" s="1233">
        <f t="shared" si="136"/>
        <v>136199000</v>
      </c>
      <c r="K255" s="1233">
        <f t="shared" si="136"/>
        <v>12853000</v>
      </c>
      <c r="L255" s="1233">
        <f t="shared" si="136"/>
        <v>0</v>
      </c>
      <c r="M255" s="1233">
        <f t="shared" si="136"/>
        <v>0</v>
      </c>
      <c r="N255" s="1234">
        <f t="shared" si="136"/>
        <v>0</v>
      </c>
    </row>
    <row r="256" spans="1:14" s="896" customFormat="1" ht="13.5" customHeight="1">
      <c r="A256" s="1238"/>
      <c r="B256" s="1239"/>
      <c r="C256" s="1239"/>
      <c r="D256" s="1240"/>
      <c r="E256" s="1241">
        <f>E254-E255</f>
        <v>43000</v>
      </c>
      <c r="F256" s="1242">
        <f>+G251-ROUND($E$256*G250/$F$250,-3)</f>
        <v>41843000</v>
      </c>
      <c r="G256" s="1241">
        <f t="shared" ref="G256:N256" si="137">IF(LEN(G250)&lt;=7,-3,IF(LEN(G250)=8,-4,IF(LEN(G250)&gt;=9,-5,-6)))</f>
        <v>-4</v>
      </c>
      <c r="H256" s="1241">
        <f t="shared" si="137"/>
        <v>-4</v>
      </c>
      <c r="I256" s="1241">
        <f t="shared" si="137"/>
        <v>-3</v>
      </c>
      <c r="J256" s="1241">
        <f>IF(LEN(J250)&lt;=7,-3,IF(LEN(J250)=8,-4,IF(LEN(J250)&gt;=9,-5,-6)))</f>
        <v>-5</v>
      </c>
      <c r="K256" s="1241">
        <f>IF(LEN(K250)&lt;=7,-3,IF(LEN(K250)=8,-4,IF(LEN(K250)&gt;=9,-5,-6)))</f>
        <v>-4</v>
      </c>
      <c r="L256" s="1241">
        <f t="shared" si="137"/>
        <v>-3</v>
      </c>
      <c r="M256" s="1241">
        <f t="shared" si="137"/>
        <v>-3</v>
      </c>
      <c r="N256" s="1243">
        <f t="shared" si="137"/>
        <v>-3</v>
      </c>
    </row>
    <row r="257" spans="1:14" s="896" customFormat="1" ht="13.5" customHeight="1">
      <c r="F257" s="1244"/>
      <c r="G257" s="1245"/>
      <c r="H257" s="1246"/>
      <c r="I257" s="1246"/>
      <c r="J257" s="1246"/>
      <c r="K257" s="1246"/>
      <c r="L257" s="1246"/>
      <c r="M257" s="1246"/>
      <c r="N257" s="1246"/>
    </row>
    <row r="258" spans="1:14" s="896" customFormat="1" ht="15" hidden="1" customHeight="1">
      <c r="A258" s="1247"/>
      <c r="B258" s="1248"/>
      <c r="C258" s="1249" t="s">
        <v>2689</v>
      </c>
      <c r="D258" s="1250"/>
      <c r="E258" s="1248"/>
      <c r="F258" s="1251" t="s">
        <v>2690</v>
      </c>
      <c r="G258" s="1252">
        <f t="shared" ref="G258:N258" si="138">+G84</f>
        <v>16.600000000000001</v>
      </c>
      <c r="H258" s="1252">
        <f t="shared" si="138"/>
        <v>11</v>
      </c>
      <c r="I258" s="1252">
        <f t="shared" si="138"/>
        <v>16.600000000000001</v>
      </c>
      <c r="J258" s="1252">
        <f t="shared" si="138"/>
        <v>16.600000000000001</v>
      </c>
      <c r="K258" s="1252">
        <f t="shared" si="138"/>
        <v>16.600000000000001</v>
      </c>
      <c r="L258" s="1252">
        <f t="shared" si="138"/>
        <v>0</v>
      </c>
      <c r="M258" s="1252">
        <f t="shared" si="138"/>
        <v>0</v>
      </c>
      <c r="N258" s="1253">
        <f t="shared" si="138"/>
        <v>0</v>
      </c>
    </row>
    <row r="259" spans="1:14" s="896" customFormat="1" ht="15" hidden="1" customHeight="1">
      <c r="A259" s="2651"/>
      <c r="B259" s="2654" t="s">
        <v>2691</v>
      </c>
      <c r="C259" s="1254" t="s">
        <v>2692</v>
      </c>
      <c r="D259" s="1063"/>
      <c r="E259" s="1255"/>
      <c r="F259" s="1256" t="s">
        <v>2693</v>
      </c>
      <c r="G259" s="1257">
        <f>IF($F141&lt;=10000000,ROUND(7.56*(10000^-0.1105)*(G258^0.2389),2),ROUND(7.56*(($F141/1000)^-0.1105)*(G258^0.2389),2))</f>
        <v>3.92</v>
      </c>
      <c r="H259" s="1257">
        <f>IF($F141&lt;=10000000,ROUND(7.56*(10000^-0.1105)*(H258^0.2389),2),ROUND(7.56*(($F141/1000)^-0.1105)*(H258^0.2389),2))</f>
        <v>3.55</v>
      </c>
      <c r="I259" s="1257">
        <f t="shared" ref="I259:N259" si="139">IF($F141&lt;=10000000,ROUND(7.56*(10000^-0.1105)*(I258^0.2389),2),ROUND(7.56*(($F141/1000)^-0.1105)*(I258^0.2389),2))</f>
        <v>3.92</v>
      </c>
      <c r="J259" s="1257">
        <f t="shared" si="139"/>
        <v>3.92</v>
      </c>
      <c r="K259" s="1257">
        <f t="shared" si="139"/>
        <v>3.92</v>
      </c>
      <c r="L259" s="1257">
        <f t="shared" si="139"/>
        <v>0</v>
      </c>
      <c r="M259" s="1257">
        <f t="shared" si="139"/>
        <v>0</v>
      </c>
      <c r="N259" s="1257">
        <f t="shared" si="139"/>
        <v>0</v>
      </c>
    </row>
    <row r="260" spans="1:14" s="896" customFormat="1" ht="15" hidden="1" customHeight="1">
      <c r="A260" s="2652"/>
      <c r="B260" s="2655"/>
      <c r="C260" s="2657" t="s">
        <v>2694</v>
      </c>
      <c r="D260" s="1133"/>
      <c r="E260" s="1258"/>
      <c r="F260" s="1256" t="s">
        <v>2695</v>
      </c>
      <c r="G260" s="1259">
        <f>IF($F141&lt;=10000000,ROUND(4.33,2),0)</f>
        <v>0</v>
      </c>
      <c r="H260" s="1259">
        <f t="shared" ref="H260:N260" si="140">IF($F141&lt;=10000000,ROUND(4.33,2),0)</f>
        <v>0</v>
      </c>
      <c r="I260" s="1259">
        <f t="shared" si="140"/>
        <v>0</v>
      </c>
      <c r="J260" s="1259">
        <f t="shared" si="140"/>
        <v>0</v>
      </c>
      <c r="K260" s="1259">
        <f t="shared" si="140"/>
        <v>0</v>
      </c>
      <c r="L260" s="1259">
        <f t="shared" si="140"/>
        <v>0</v>
      </c>
      <c r="M260" s="1259">
        <f t="shared" si="140"/>
        <v>0</v>
      </c>
      <c r="N260" s="1259">
        <f t="shared" si="140"/>
        <v>0</v>
      </c>
    </row>
    <row r="261" spans="1:14" s="896" customFormat="1" ht="15" hidden="1" customHeight="1">
      <c r="A261" s="2652"/>
      <c r="B261" s="2655"/>
      <c r="C261" s="2658"/>
      <c r="D261" s="1260"/>
      <c r="E261" s="1261"/>
      <c r="F261" s="1256" t="s">
        <v>2696</v>
      </c>
      <c r="G261" s="1259">
        <f>IF($F141&lt;=10000000,ROUND(3.25,2),0)</f>
        <v>0</v>
      </c>
      <c r="H261" s="1259">
        <f t="shared" ref="H261:N261" si="141">IF($F141&lt;=10000000,ROUND(3.25,2),0)</f>
        <v>0</v>
      </c>
      <c r="I261" s="1259">
        <f t="shared" si="141"/>
        <v>0</v>
      </c>
      <c r="J261" s="1259">
        <f t="shared" si="141"/>
        <v>0</v>
      </c>
      <c r="K261" s="1259">
        <f t="shared" si="141"/>
        <v>0</v>
      </c>
      <c r="L261" s="1259">
        <f t="shared" si="141"/>
        <v>0</v>
      </c>
      <c r="M261" s="1259">
        <f t="shared" si="141"/>
        <v>0</v>
      </c>
      <c r="N261" s="1259">
        <f t="shared" si="141"/>
        <v>0</v>
      </c>
    </row>
    <row r="262" spans="1:14" s="896" customFormat="1" ht="14.25" hidden="1" customHeight="1">
      <c r="A262" s="2652"/>
      <c r="B262" s="2655"/>
      <c r="C262" s="2657" t="s">
        <v>2697</v>
      </c>
      <c r="D262" s="1133"/>
      <c r="E262" s="1258"/>
      <c r="F262" s="1256" t="s">
        <v>2695</v>
      </c>
      <c r="G262" s="1262">
        <f>IF($F141&gt;10000000,ROUND(5.78*($F141/1000)^-0.0313,2),0)</f>
        <v>3.97</v>
      </c>
      <c r="H262" s="1262">
        <f t="shared" ref="H262:N262" si="142">IF($F141&gt;10000000,ROUND(5.78*($F141/1000)^-0.0313,2),0)</f>
        <v>3.97</v>
      </c>
      <c r="I262" s="1262">
        <f t="shared" si="142"/>
        <v>3.97</v>
      </c>
      <c r="J262" s="1262">
        <f t="shared" si="142"/>
        <v>3.97</v>
      </c>
      <c r="K262" s="1262">
        <f t="shared" si="142"/>
        <v>3.97</v>
      </c>
      <c r="L262" s="1262">
        <f t="shared" si="142"/>
        <v>3.97</v>
      </c>
      <c r="M262" s="1262">
        <f t="shared" si="142"/>
        <v>3.97</v>
      </c>
      <c r="N262" s="1262">
        <f t="shared" si="142"/>
        <v>3.97</v>
      </c>
    </row>
    <row r="263" spans="1:14" s="896" customFormat="1" ht="15" hidden="1" customHeight="1">
      <c r="A263" s="2653"/>
      <c r="B263" s="2656"/>
      <c r="C263" s="2658"/>
      <c r="D263" s="1260"/>
      <c r="E263" s="1261"/>
      <c r="F263" s="1256" t="s">
        <v>2696</v>
      </c>
      <c r="G263" s="1262">
        <f>IF($F141&gt;10000000,ROUND(4.34*($F141/1000)^-0.0313,2),0)</f>
        <v>2.98</v>
      </c>
      <c r="H263" s="1262">
        <f t="shared" ref="H263:N263" si="143">IF($F141&gt;10000000,ROUND(4.34*($F141/1000)^-0.0313,2),0)</f>
        <v>2.98</v>
      </c>
      <c r="I263" s="1262">
        <f t="shared" si="143"/>
        <v>2.98</v>
      </c>
      <c r="J263" s="1262">
        <f t="shared" si="143"/>
        <v>2.98</v>
      </c>
      <c r="K263" s="1262">
        <f t="shared" si="143"/>
        <v>2.98</v>
      </c>
      <c r="L263" s="1262">
        <f t="shared" si="143"/>
        <v>2.98</v>
      </c>
      <c r="M263" s="1262">
        <f t="shared" si="143"/>
        <v>2.98</v>
      </c>
      <c r="N263" s="1262">
        <f t="shared" si="143"/>
        <v>2.98</v>
      </c>
    </row>
    <row r="264" spans="1:14" s="896" customFormat="1" ht="15" hidden="1" customHeight="1">
      <c r="A264" s="2645" t="s">
        <v>2698</v>
      </c>
      <c r="B264" s="2646"/>
      <c r="C264" s="2646"/>
      <c r="D264" s="2646"/>
      <c r="E264" s="2646"/>
      <c r="F264" s="2647"/>
      <c r="G264" s="1262">
        <f>IF($F141&lt;=10000000,IF(G$259&gt;G$260,G$260,IF(G$259&lt;G$261,G$261,G$259)),IF(G$259&gt;G$262,G$262,IF(G$259&lt;G$263,G$263,G$259)))</f>
        <v>3.92</v>
      </c>
      <c r="H264" s="1262">
        <f t="shared" ref="H264:N264" si="144">IF($F141&lt;=10000000,IF(H$259&gt;H$260,H$260,IF(H$259&lt;H$261,H$261,H$259)),IF(H$259&gt;H$262,H$262,IF(H$259&lt;H$263,H$263,H$259)))</f>
        <v>3.55</v>
      </c>
      <c r="I264" s="1262">
        <f t="shared" si="144"/>
        <v>3.92</v>
      </c>
      <c r="J264" s="1262">
        <f t="shared" si="144"/>
        <v>3.92</v>
      </c>
      <c r="K264" s="1262">
        <f t="shared" si="144"/>
        <v>3.92</v>
      </c>
      <c r="L264" s="1262">
        <f t="shared" si="144"/>
        <v>2.98</v>
      </c>
      <c r="M264" s="1262">
        <f t="shared" si="144"/>
        <v>2.98</v>
      </c>
      <c r="N264" s="1262">
        <f t="shared" si="144"/>
        <v>2.98</v>
      </c>
    </row>
    <row r="265" spans="1:14" s="896" customFormat="1" ht="15" hidden="1" customHeight="1" thickBot="1">
      <c r="A265" s="2648" t="s">
        <v>2699</v>
      </c>
      <c r="B265" s="2649"/>
      <c r="C265" s="2649"/>
      <c r="D265" s="2649"/>
      <c r="E265" s="2649"/>
      <c r="F265" s="2650"/>
      <c r="G265" s="1263">
        <f>ROUND(G264*IF(AND(G89="駅施設",G90="無し"),0.7,IF(AND(G89="駅施設",G90="有り"),0.7,IF(AND(G89="地上建物",G90="無し"),0.9,IF(AND(G89="地上建物",G90="有り"),1,0)))),2)</f>
        <v>2.74</v>
      </c>
      <c r="H265" s="1263">
        <f t="shared" ref="H265:N265" si="145">ROUND(H264*IF(AND(H89="駅施設",H90="無し"),0.7,IF(AND(H89="駅施設",H90="有り"),0.7,IF(AND(H89="地上建物",H90="無し"),0.9,IF(AND(H89="地上建物",H90="有り"),1,0)))),2)</f>
        <v>2.4900000000000002</v>
      </c>
      <c r="I265" s="1263">
        <f t="shared" si="145"/>
        <v>2.74</v>
      </c>
      <c r="J265" s="1263">
        <f t="shared" si="145"/>
        <v>2.74</v>
      </c>
      <c r="K265" s="1263">
        <f t="shared" si="145"/>
        <v>2.74</v>
      </c>
      <c r="L265" s="1263">
        <f t="shared" si="145"/>
        <v>2.09</v>
      </c>
      <c r="M265" s="1263">
        <f t="shared" si="145"/>
        <v>2.09</v>
      </c>
      <c r="N265" s="1263">
        <f t="shared" si="145"/>
        <v>2.09</v>
      </c>
    </row>
    <row r="266" spans="1:14" s="896" customFormat="1" ht="15" hidden="1" customHeight="1" thickBot="1">
      <c r="G266" s="1264"/>
      <c r="H266" s="1264"/>
      <c r="I266" s="1264"/>
      <c r="J266" s="1264"/>
      <c r="K266" s="1264"/>
      <c r="L266" s="1264"/>
      <c r="M266" s="1264"/>
      <c r="N266" s="1264"/>
    </row>
    <row r="267" spans="1:14" s="896" customFormat="1" ht="15" hidden="1" customHeight="1">
      <c r="A267" s="1247"/>
      <c r="B267" s="1248"/>
      <c r="C267" s="1249" t="s">
        <v>2689</v>
      </c>
      <c r="D267" s="1250"/>
      <c r="E267" s="1248"/>
      <c r="F267" s="1251" t="s">
        <v>2690</v>
      </c>
      <c r="G267" s="1252">
        <f t="shared" ref="G267:N267" si="146">+G84</f>
        <v>16.600000000000001</v>
      </c>
      <c r="H267" s="1252">
        <f t="shared" si="146"/>
        <v>11</v>
      </c>
      <c r="I267" s="1252">
        <f t="shared" si="146"/>
        <v>16.600000000000001</v>
      </c>
      <c r="J267" s="1252">
        <f t="shared" si="146"/>
        <v>16.600000000000001</v>
      </c>
      <c r="K267" s="1252">
        <f t="shared" si="146"/>
        <v>16.600000000000001</v>
      </c>
      <c r="L267" s="1252">
        <f t="shared" si="146"/>
        <v>0</v>
      </c>
      <c r="M267" s="1252">
        <f t="shared" si="146"/>
        <v>0</v>
      </c>
      <c r="N267" s="1253">
        <f t="shared" si="146"/>
        <v>0</v>
      </c>
    </row>
    <row r="268" spans="1:14" s="896" customFormat="1" ht="15" hidden="1" customHeight="1">
      <c r="A268" s="2651"/>
      <c r="B268" s="2654" t="s">
        <v>2700</v>
      </c>
      <c r="C268" s="1254" t="s">
        <v>2692</v>
      </c>
      <c r="D268" s="1063"/>
      <c r="E268" s="1255"/>
      <c r="F268" s="1256" t="s">
        <v>2701</v>
      </c>
      <c r="G268" s="1257">
        <f>IF($F141&lt;=5000000,ROUND(18.03*(5000^-0.2027)*(G267^0.4017),2),ROUND(18.03*(($F141/1000)^-0.2027)*(G267^0.4017),2))</f>
        <v>4.88</v>
      </c>
      <c r="H268" s="1257">
        <f t="shared" ref="H268:N268" si="147">IF($F141&lt;=5000000,ROUND(18.03*(5000^-0.2027)*(H267^0.4017),2),ROUND(18.03*(($F141/1000)^-0.2027)*(H267^0.4017),2))</f>
        <v>4.1399999999999997</v>
      </c>
      <c r="I268" s="1257">
        <f t="shared" si="147"/>
        <v>4.88</v>
      </c>
      <c r="J268" s="1257">
        <f t="shared" si="147"/>
        <v>4.88</v>
      </c>
      <c r="K268" s="1257">
        <f t="shared" si="147"/>
        <v>4.88</v>
      </c>
      <c r="L268" s="1257">
        <f t="shared" si="147"/>
        <v>0</v>
      </c>
      <c r="M268" s="1257">
        <f t="shared" si="147"/>
        <v>0</v>
      </c>
      <c r="N268" s="1257">
        <f t="shared" si="147"/>
        <v>0</v>
      </c>
    </row>
    <row r="269" spans="1:14" s="896" customFormat="1" ht="15" hidden="1" customHeight="1">
      <c r="A269" s="2652"/>
      <c r="B269" s="2655"/>
      <c r="C269" s="2657" t="s">
        <v>2702</v>
      </c>
      <c r="D269" s="1133"/>
      <c r="E269" s="1258"/>
      <c r="F269" s="1256" t="s">
        <v>2695</v>
      </c>
      <c r="G269" s="1259">
        <f>IF($F141&lt;=5000000,ROUND(6.07,2),0)</f>
        <v>0</v>
      </c>
      <c r="H269" s="1259">
        <f t="shared" ref="H269:N269" si="148">IF($F141&lt;=5000000,ROUND(6.07,2),0)</f>
        <v>0</v>
      </c>
      <c r="I269" s="1259">
        <f t="shared" si="148"/>
        <v>0</v>
      </c>
      <c r="J269" s="1259">
        <f t="shared" si="148"/>
        <v>0</v>
      </c>
      <c r="K269" s="1259">
        <f t="shared" si="148"/>
        <v>0</v>
      </c>
      <c r="L269" s="1259">
        <f t="shared" si="148"/>
        <v>0</v>
      </c>
      <c r="M269" s="1259">
        <f t="shared" si="148"/>
        <v>0</v>
      </c>
      <c r="N269" s="1259">
        <f t="shared" si="148"/>
        <v>0</v>
      </c>
    </row>
    <row r="270" spans="1:14" s="896" customFormat="1" ht="15" hidden="1" customHeight="1">
      <c r="A270" s="2652"/>
      <c r="B270" s="2655"/>
      <c r="C270" s="2658"/>
      <c r="D270" s="1260"/>
      <c r="E270" s="1261"/>
      <c r="F270" s="1256" t="s">
        <v>2696</v>
      </c>
      <c r="G270" s="1259">
        <f>IF($F141&lt;=5000000,ROUND(3.59,2),0)</f>
        <v>0</v>
      </c>
      <c r="H270" s="1259">
        <f t="shared" ref="H270:N270" si="149">IF($F141&lt;=5000000,ROUND(3.59,2),0)</f>
        <v>0</v>
      </c>
      <c r="I270" s="1259">
        <f t="shared" si="149"/>
        <v>0</v>
      </c>
      <c r="J270" s="1259">
        <f t="shared" si="149"/>
        <v>0</v>
      </c>
      <c r="K270" s="1259">
        <f t="shared" si="149"/>
        <v>0</v>
      </c>
      <c r="L270" s="1259">
        <f t="shared" si="149"/>
        <v>0</v>
      </c>
      <c r="M270" s="1259">
        <f t="shared" si="149"/>
        <v>0</v>
      </c>
      <c r="N270" s="1259">
        <f t="shared" si="149"/>
        <v>0</v>
      </c>
    </row>
    <row r="271" spans="1:14" s="896" customFormat="1" ht="15" hidden="1" customHeight="1">
      <c r="A271" s="2652"/>
      <c r="B271" s="2655"/>
      <c r="C271" s="2657" t="s">
        <v>2703</v>
      </c>
      <c r="D271" s="1133"/>
      <c r="E271" s="1258"/>
      <c r="F271" s="1256" t="s">
        <v>2695</v>
      </c>
      <c r="G271" s="1262">
        <f>IF($F141&gt;5000000,ROUND(11.74*($F141/1000)^-0.0774,2),0)</f>
        <v>4.63</v>
      </c>
      <c r="H271" s="1262">
        <f t="shared" ref="H271:N271" si="150">IF($F141&gt;5000000,ROUND(11.74*($F141/1000)^-0.0774,2),0)</f>
        <v>4.63</v>
      </c>
      <c r="I271" s="1262">
        <f t="shared" si="150"/>
        <v>4.63</v>
      </c>
      <c r="J271" s="1262">
        <f t="shared" si="150"/>
        <v>4.63</v>
      </c>
      <c r="K271" s="1262">
        <f t="shared" si="150"/>
        <v>4.63</v>
      </c>
      <c r="L271" s="1262">
        <f t="shared" si="150"/>
        <v>4.63</v>
      </c>
      <c r="M271" s="1262">
        <f t="shared" si="150"/>
        <v>4.63</v>
      </c>
      <c r="N271" s="1262">
        <f t="shared" si="150"/>
        <v>4.63</v>
      </c>
    </row>
    <row r="272" spans="1:14" s="896" customFormat="1" ht="15" hidden="1" customHeight="1">
      <c r="A272" s="2653"/>
      <c r="B272" s="2656"/>
      <c r="C272" s="2658"/>
      <c r="D272" s="1260"/>
      <c r="E272" s="1261"/>
      <c r="F272" s="1256" t="s">
        <v>2696</v>
      </c>
      <c r="G272" s="1262">
        <f>IF($F141&gt;5000000,ROUND(6.94*($F141/1000)^-0.0774,2),0)</f>
        <v>2.74</v>
      </c>
      <c r="H272" s="1262">
        <f t="shared" ref="H272:N272" si="151">IF($F141&gt;5000000,ROUND(6.94*($F141/1000)^-0.0774,2),0)</f>
        <v>2.74</v>
      </c>
      <c r="I272" s="1262">
        <f t="shared" si="151"/>
        <v>2.74</v>
      </c>
      <c r="J272" s="1262">
        <f t="shared" si="151"/>
        <v>2.74</v>
      </c>
      <c r="K272" s="1262">
        <f t="shared" si="151"/>
        <v>2.74</v>
      </c>
      <c r="L272" s="1262">
        <f t="shared" si="151"/>
        <v>2.74</v>
      </c>
      <c r="M272" s="1262">
        <f t="shared" si="151"/>
        <v>2.74</v>
      </c>
      <c r="N272" s="1262">
        <f t="shared" si="151"/>
        <v>2.74</v>
      </c>
    </row>
    <row r="273" spans="1:14" s="896" customFormat="1" ht="15" hidden="1" customHeight="1">
      <c r="A273" s="2645" t="s">
        <v>2698</v>
      </c>
      <c r="B273" s="2646"/>
      <c r="C273" s="2646"/>
      <c r="D273" s="2646"/>
      <c r="E273" s="2646"/>
      <c r="F273" s="2647"/>
      <c r="G273" s="1265">
        <f>IF($F141&lt;=5000000,IF(G$268&gt;G$269,G$269,IF(G$268&lt;G$270,G$270,G$268)),IF(G$268&gt;G$271,G$271,IF(G$268&lt;G$272,G$272,G$268)))</f>
        <v>4.63</v>
      </c>
      <c r="H273" s="1265">
        <f t="shared" ref="H273:N273" si="152">IF($F141&lt;=5000000,IF(H$268&gt;H$269,H$269,IF(H$268&lt;H$270,H$270,H$268)),IF(H$268&gt;H$271,H$271,IF(H$268&lt;H$272,H$272,H$268)))</f>
        <v>4.1399999999999997</v>
      </c>
      <c r="I273" s="1265">
        <f t="shared" si="152"/>
        <v>4.63</v>
      </c>
      <c r="J273" s="1265">
        <f t="shared" si="152"/>
        <v>4.63</v>
      </c>
      <c r="K273" s="1265">
        <f t="shared" si="152"/>
        <v>4.63</v>
      </c>
      <c r="L273" s="1265">
        <f t="shared" si="152"/>
        <v>2.74</v>
      </c>
      <c r="M273" s="1265">
        <f t="shared" si="152"/>
        <v>2.74</v>
      </c>
      <c r="N273" s="1265">
        <f t="shared" si="152"/>
        <v>2.74</v>
      </c>
    </row>
    <row r="274" spans="1:14" s="896" customFormat="1" ht="15" hidden="1" customHeight="1" thickBot="1">
      <c r="A274" s="2648" t="s">
        <v>2699</v>
      </c>
      <c r="B274" s="2649"/>
      <c r="C274" s="2649"/>
      <c r="D274" s="2649"/>
      <c r="E274" s="2649"/>
      <c r="F274" s="2650"/>
      <c r="G274" s="1263">
        <f>ROUND(G273*IF(AND(G89="駅施設",G90="無し"),0.7,IF(AND(G89="駅施設",G90="有り"),0.7,IF(AND(G89="地上建物",G90="無し"),0.9,IF(AND(G89="地上建物",G90="有り"),1,0)))),2)</f>
        <v>3.24</v>
      </c>
      <c r="H274" s="1263">
        <f t="shared" ref="H274:N274" si="153">ROUND(H273*IF(AND(H89="駅施設",H90="無し"),0.7,IF(AND(H89="駅施設",H90="有り"),0.7,IF(AND(H89="地上建物",H90="無し"),0.9,IF(AND(H89="地上建物",H90="有り"),1,0)))),2)</f>
        <v>2.9</v>
      </c>
      <c r="I274" s="1263">
        <f t="shared" si="153"/>
        <v>3.24</v>
      </c>
      <c r="J274" s="1263">
        <f t="shared" si="153"/>
        <v>3.24</v>
      </c>
      <c r="K274" s="1263">
        <f t="shared" si="153"/>
        <v>3.24</v>
      </c>
      <c r="L274" s="1263">
        <f t="shared" si="153"/>
        <v>1.92</v>
      </c>
      <c r="M274" s="1263">
        <f t="shared" si="153"/>
        <v>1.92</v>
      </c>
      <c r="N274" s="1263">
        <f t="shared" si="153"/>
        <v>1.92</v>
      </c>
    </row>
    <row r="275" spans="1:14" s="896" customFormat="1" ht="15" hidden="1" customHeight="1" thickBot="1">
      <c r="G275" s="1246"/>
      <c r="H275" s="1246"/>
      <c r="I275" s="1246"/>
      <c r="J275" s="1246"/>
      <c r="K275" s="1246"/>
      <c r="L275" s="1246"/>
      <c r="M275" s="1246"/>
      <c r="N275" s="1246"/>
    </row>
    <row r="276" spans="1:14" s="896" customFormat="1" ht="15" hidden="1" customHeight="1">
      <c r="A276" s="1247"/>
      <c r="B276" s="1248"/>
      <c r="C276" s="1249" t="s">
        <v>2704</v>
      </c>
      <c r="D276" s="1250"/>
      <c r="E276" s="1248"/>
      <c r="F276" s="1251" t="s">
        <v>2690</v>
      </c>
      <c r="G276" s="1252">
        <f>+G284</f>
        <v>16.600000000000001</v>
      </c>
      <c r="H276" s="1252">
        <f t="shared" ref="H276:N276" si="154">+H284</f>
        <v>11</v>
      </c>
      <c r="I276" s="1252">
        <f t="shared" si="154"/>
        <v>16.600000000000001</v>
      </c>
      <c r="J276" s="1252">
        <f t="shared" si="154"/>
        <v>16.600000000000001</v>
      </c>
      <c r="K276" s="1252">
        <f>+K284</f>
        <v>16.600000000000001</v>
      </c>
      <c r="L276" s="1252">
        <f t="shared" si="154"/>
        <v>0</v>
      </c>
      <c r="M276" s="1252">
        <f t="shared" si="154"/>
        <v>0</v>
      </c>
      <c r="N276" s="1253">
        <f t="shared" si="154"/>
        <v>0</v>
      </c>
    </row>
    <row r="277" spans="1:14" s="896" customFormat="1" ht="15" hidden="1" customHeight="1">
      <c r="A277" s="2651"/>
      <c r="B277" s="2654" t="s">
        <v>2691</v>
      </c>
      <c r="C277" s="1254" t="s">
        <v>2705</v>
      </c>
      <c r="D277" s="1063"/>
      <c r="E277" s="1255"/>
      <c r="F277" s="1256" t="s">
        <v>2706</v>
      </c>
      <c r="G277" s="1257">
        <f>IF($F180&lt;=10000000,ROUND(151.08*((10000)^-0.3396)*(G276^0.586),2),ROUND(151.08*(($F180/1000)^-0.3396)*(G276^0.586),2))</f>
        <v>12.98</v>
      </c>
      <c r="H277" s="1257">
        <f t="shared" ref="H277:N277" si="155">IF($F180&lt;=10000000,ROUND(151.08*((10000)^-0.3396)*(H276^0.586),2),ROUND(151.08*(($F180/1000)^-0.3396)*(H276^0.586),2))</f>
        <v>10.199999999999999</v>
      </c>
      <c r="I277" s="1257">
        <f t="shared" si="155"/>
        <v>12.98</v>
      </c>
      <c r="J277" s="1257">
        <f t="shared" si="155"/>
        <v>12.98</v>
      </c>
      <c r="K277" s="1257">
        <f t="shared" si="155"/>
        <v>12.98</v>
      </c>
      <c r="L277" s="1257">
        <f t="shared" si="155"/>
        <v>0</v>
      </c>
      <c r="M277" s="1257">
        <f t="shared" si="155"/>
        <v>0</v>
      </c>
      <c r="N277" s="1257">
        <f t="shared" si="155"/>
        <v>0</v>
      </c>
    </row>
    <row r="278" spans="1:14" s="896" customFormat="1" ht="15" hidden="1" customHeight="1">
      <c r="A278" s="2652"/>
      <c r="B278" s="2655"/>
      <c r="C278" s="2657" t="s">
        <v>2707</v>
      </c>
      <c r="D278" s="1133"/>
      <c r="E278" s="1258"/>
      <c r="F278" s="1256" t="s">
        <v>2695</v>
      </c>
      <c r="G278" s="1259">
        <f>IF($F180&lt;=10000000,ROUND(20.13,2),0)</f>
        <v>0</v>
      </c>
      <c r="H278" s="1259">
        <f t="shared" ref="H278:N278" si="156">IF($F180&lt;=10000000,ROUND(20.13,2),0)</f>
        <v>0</v>
      </c>
      <c r="I278" s="1259">
        <f t="shared" si="156"/>
        <v>0</v>
      </c>
      <c r="J278" s="1259">
        <f t="shared" si="156"/>
        <v>0</v>
      </c>
      <c r="K278" s="1259">
        <f t="shared" si="156"/>
        <v>0</v>
      </c>
      <c r="L278" s="1259">
        <f t="shared" si="156"/>
        <v>0</v>
      </c>
      <c r="M278" s="1259">
        <f t="shared" si="156"/>
        <v>0</v>
      </c>
      <c r="N278" s="1259">
        <f t="shared" si="156"/>
        <v>0</v>
      </c>
    </row>
    <row r="279" spans="1:14" s="896" customFormat="1" ht="15" hidden="1" customHeight="1">
      <c r="A279" s="2652"/>
      <c r="B279" s="2655"/>
      <c r="C279" s="2658"/>
      <c r="D279" s="1260"/>
      <c r="E279" s="1261"/>
      <c r="F279" s="1256" t="s">
        <v>2696</v>
      </c>
      <c r="G279" s="1259">
        <f>IF($F180&lt;=10000000,ROUND(10.01,2),0)</f>
        <v>0</v>
      </c>
      <c r="H279" s="1259">
        <f t="shared" ref="H279:N279" si="157">IF($F180&lt;=10000000,ROUND(10.01,2),0)</f>
        <v>0</v>
      </c>
      <c r="I279" s="1259">
        <f t="shared" si="157"/>
        <v>0</v>
      </c>
      <c r="J279" s="1259">
        <f t="shared" si="157"/>
        <v>0</v>
      </c>
      <c r="K279" s="1259">
        <f t="shared" si="157"/>
        <v>0</v>
      </c>
      <c r="L279" s="1259">
        <f t="shared" si="157"/>
        <v>0</v>
      </c>
      <c r="M279" s="1259">
        <f t="shared" si="157"/>
        <v>0</v>
      </c>
      <c r="N279" s="1259">
        <f t="shared" si="157"/>
        <v>0</v>
      </c>
    </row>
    <row r="280" spans="1:14" s="896" customFormat="1" ht="15" hidden="1" customHeight="1">
      <c r="A280" s="2652"/>
      <c r="B280" s="2655"/>
      <c r="C280" s="2657" t="s">
        <v>2708</v>
      </c>
      <c r="D280" s="1133"/>
      <c r="E280" s="1258"/>
      <c r="F280" s="1256" t="s">
        <v>2695</v>
      </c>
      <c r="G280" s="1262">
        <f>IF($F180&gt;10000000,ROUND(75.97*($F180/1000)^-0.1442,2),0)</f>
        <v>13.32</v>
      </c>
      <c r="H280" s="1262">
        <f t="shared" ref="H280:N280" si="158">IF($F180&gt;10000000,ROUND(75.97*($F180/1000)^-0.1442,2),0)</f>
        <v>13.32</v>
      </c>
      <c r="I280" s="1262">
        <f t="shared" si="158"/>
        <v>13.32</v>
      </c>
      <c r="J280" s="1262">
        <f t="shared" si="158"/>
        <v>13.32</v>
      </c>
      <c r="K280" s="1262">
        <f t="shared" si="158"/>
        <v>13.32</v>
      </c>
      <c r="L280" s="1262">
        <f t="shared" si="158"/>
        <v>13.32</v>
      </c>
      <c r="M280" s="1262">
        <f t="shared" si="158"/>
        <v>13.32</v>
      </c>
      <c r="N280" s="1262">
        <f t="shared" si="158"/>
        <v>13.32</v>
      </c>
    </row>
    <row r="281" spans="1:14" s="896" customFormat="1" ht="15" hidden="1" customHeight="1">
      <c r="A281" s="2653"/>
      <c r="B281" s="2656"/>
      <c r="C281" s="2658"/>
      <c r="D281" s="1260"/>
      <c r="E281" s="1261"/>
      <c r="F281" s="1256" t="s">
        <v>2696</v>
      </c>
      <c r="G281" s="1262">
        <f>IF($F180&gt;10000000,ROUND(37.76*($F180/1000)^-0.1442,2),0)</f>
        <v>6.62</v>
      </c>
      <c r="H281" s="1262">
        <f t="shared" ref="H281:N281" si="159">IF($F180&gt;10000000,ROUND(37.76*($F180/1000)^-0.1442,2),0)</f>
        <v>6.62</v>
      </c>
      <c r="I281" s="1262">
        <f t="shared" si="159"/>
        <v>6.62</v>
      </c>
      <c r="J281" s="1262">
        <f t="shared" si="159"/>
        <v>6.62</v>
      </c>
      <c r="K281" s="1262">
        <f t="shared" si="159"/>
        <v>6.62</v>
      </c>
      <c r="L281" s="1262">
        <f t="shared" si="159"/>
        <v>6.62</v>
      </c>
      <c r="M281" s="1262">
        <f t="shared" si="159"/>
        <v>6.62</v>
      </c>
      <c r="N281" s="1262">
        <f t="shared" si="159"/>
        <v>6.62</v>
      </c>
    </row>
    <row r="282" spans="1:14" s="896" customFormat="1" ht="15" hidden="1" customHeight="1" thickBot="1">
      <c r="A282" s="2660" t="s">
        <v>2709</v>
      </c>
      <c r="B282" s="2661"/>
      <c r="C282" s="2661"/>
      <c r="D282" s="2661"/>
      <c r="E282" s="1266"/>
      <c r="F282" s="1267"/>
      <c r="G282" s="1268">
        <f>IF($F180&lt;=10000000,IF(G$277&gt;G$278,G$278,IF(G$277&lt;G$279,G$279,G$277)),IF(G$277&gt;G$280,G$280,IF(G$277&lt;G$281,G$281,G$277)))</f>
        <v>12.98</v>
      </c>
      <c r="H282" s="1268">
        <f t="shared" ref="H282:N282" si="160">IF($F180&lt;=10000000,IF(H$277&gt;H$278,H$278,IF(H$277&lt;H$279,H$279,H$277)),IF(H$277&gt;H$280,H$280,IF(H$277&lt;H$281,H$281,H$277)))</f>
        <v>10.199999999999999</v>
      </c>
      <c r="I282" s="1268">
        <f t="shared" si="160"/>
        <v>12.98</v>
      </c>
      <c r="J282" s="1268">
        <f t="shared" si="160"/>
        <v>12.98</v>
      </c>
      <c r="K282" s="1268">
        <f t="shared" si="160"/>
        <v>12.98</v>
      </c>
      <c r="L282" s="1268">
        <f t="shared" si="160"/>
        <v>6.62</v>
      </c>
      <c r="M282" s="1268">
        <f t="shared" si="160"/>
        <v>6.62</v>
      </c>
      <c r="N282" s="1268">
        <f t="shared" si="160"/>
        <v>6.62</v>
      </c>
    </row>
    <row r="283" spans="1:14" s="896" customFormat="1" ht="15" hidden="1" customHeight="1" thickBot="1">
      <c r="G283" s="1264"/>
      <c r="H283" s="1264"/>
      <c r="I283" s="1264"/>
      <c r="J283" s="1264"/>
      <c r="K283" s="1264"/>
      <c r="L283" s="1264"/>
      <c r="M283" s="1264"/>
      <c r="N283" s="1264"/>
    </row>
    <row r="284" spans="1:14" s="896" customFormat="1" ht="15" hidden="1" customHeight="1">
      <c r="A284" s="1247"/>
      <c r="B284" s="1248"/>
      <c r="C284" s="1249" t="s">
        <v>2704</v>
      </c>
      <c r="D284" s="1250"/>
      <c r="E284" s="1248"/>
      <c r="F284" s="1251" t="s">
        <v>2690</v>
      </c>
      <c r="G284" s="1252">
        <f t="shared" ref="G284:N284" si="161">+G84</f>
        <v>16.600000000000001</v>
      </c>
      <c r="H284" s="1252">
        <f t="shared" si="161"/>
        <v>11</v>
      </c>
      <c r="I284" s="1252">
        <f t="shared" si="161"/>
        <v>16.600000000000001</v>
      </c>
      <c r="J284" s="1252">
        <f t="shared" si="161"/>
        <v>16.600000000000001</v>
      </c>
      <c r="K284" s="1252">
        <f t="shared" si="161"/>
        <v>16.600000000000001</v>
      </c>
      <c r="L284" s="1252">
        <f t="shared" si="161"/>
        <v>0</v>
      </c>
      <c r="M284" s="1252">
        <f t="shared" si="161"/>
        <v>0</v>
      </c>
      <c r="N284" s="1253">
        <f t="shared" si="161"/>
        <v>0</v>
      </c>
    </row>
    <row r="285" spans="1:14" s="896" customFormat="1" ht="15" hidden="1" customHeight="1">
      <c r="A285" s="2651"/>
      <c r="B285" s="2654" t="s">
        <v>2700</v>
      </c>
      <c r="C285" s="1254" t="s">
        <v>2705</v>
      </c>
      <c r="D285" s="1063"/>
      <c r="E285" s="1255"/>
      <c r="F285" s="1256" t="s">
        <v>2706</v>
      </c>
      <c r="G285" s="1257">
        <f>IF($F180&lt;=5000000,ROUND(356.2*((5000)^-0.4085)*(G284^0.5766),2),ROUND(356.2*(($F180/1000)^-0.4085)*(G284^0.5766),2))</f>
        <v>12.97</v>
      </c>
      <c r="H285" s="1257">
        <f t="shared" ref="H285:N285" si="162">IF($F180&lt;=5000000,ROUND(356.2*((5000)^-0.4085)*(H284^0.5766),2),ROUND(356.2*(($F180/1000)^-0.4085)*(H284^0.5766),2))</f>
        <v>10.23</v>
      </c>
      <c r="I285" s="1257">
        <f t="shared" si="162"/>
        <v>12.97</v>
      </c>
      <c r="J285" s="1257">
        <f t="shared" si="162"/>
        <v>12.97</v>
      </c>
      <c r="K285" s="1257">
        <f t="shared" si="162"/>
        <v>12.97</v>
      </c>
      <c r="L285" s="1257">
        <f t="shared" si="162"/>
        <v>0</v>
      </c>
      <c r="M285" s="1257">
        <f t="shared" si="162"/>
        <v>0</v>
      </c>
      <c r="N285" s="1257">
        <f t="shared" si="162"/>
        <v>0</v>
      </c>
    </row>
    <row r="286" spans="1:14" s="896" customFormat="1" ht="15" hidden="1" customHeight="1">
      <c r="A286" s="2652"/>
      <c r="B286" s="2655"/>
      <c r="C286" s="2657" t="s">
        <v>2710</v>
      </c>
      <c r="D286" s="1133"/>
      <c r="E286" s="1258"/>
      <c r="F286" s="1256" t="s">
        <v>2695</v>
      </c>
      <c r="G286" s="1259">
        <f>IF($F180&lt;=5000000,ROUND(26.86,2),0)</f>
        <v>0</v>
      </c>
      <c r="H286" s="1259">
        <f t="shared" ref="H286:N286" si="163">IF($F180&lt;=5000000,ROUND(26.86,2),0)</f>
        <v>0</v>
      </c>
      <c r="I286" s="1259">
        <f t="shared" si="163"/>
        <v>0</v>
      </c>
      <c r="J286" s="1259">
        <f t="shared" si="163"/>
        <v>0</v>
      </c>
      <c r="K286" s="1259">
        <f t="shared" si="163"/>
        <v>0</v>
      </c>
      <c r="L286" s="1259">
        <f t="shared" si="163"/>
        <v>0</v>
      </c>
      <c r="M286" s="1259">
        <f t="shared" si="163"/>
        <v>0</v>
      </c>
      <c r="N286" s="1259">
        <f t="shared" si="163"/>
        <v>0</v>
      </c>
    </row>
    <row r="287" spans="1:14" s="896" customFormat="1" ht="15" hidden="1" customHeight="1">
      <c r="A287" s="2652"/>
      <c r="B287" s="2655"/>
      <c r="C287" s="2658"/>
      <c r="D287" s="1260"/>
      <c r="E287" s="1261"/>
      <c r="F287" s="1256" t="s">
        <v>2696</v>
      </c>
      <c r="G287" s="1259">
        <f>IF($F180&lt;=5000000,ROUND(12.7,2),0)</f>
        <v>0</v>
      </c>
      <c r="H287" s="1259">
        <f t="shared" ref="H287:N287" si="164">IF($F180&lt;=5000000,ROUND(12.7,2),0)</f>
        <v>0</v>
      </c>
      <c r="I287" s="1259">
        <f t="shared" si="164"/>
        <v>0</v>
      </c>
      <c r="J287" s="1259">
        <f t="shared" si="164"/>
        <v>0</v>
      </c>
      <c r="K287" s="1259">
        <f t="shared" si="164"/>
        <v>0</v>
      </c>
      <c r="L287" s="1259">
        <f t="shared" si="164"/>
        <v>0</v>
      </c>
      <c r="M287" s="1259">
        <f t="shared" si="164"/>
        <v>0</v>
      </c>
      <c r="N287" s="1259">
        <f t="shared" si="164"/>
        <v>0</v>
      </c>
    </row>
    <row r="288" spans="1:14" s="896" customFormat="1" ht="15" hidden="1" customHeight="1">
      <c r="A288" s="2652"/>
      <c r="B288" s="2655"/>
      <c r="C288" s="2657" t="s">
        <v>2711</v>
      </c>
      <c r="D288" s="1133"/>
      <c r="E288" s="1258"/>
      <c r="F288" s="1256" t="s">
        <v>2695</v>
      </c>
      <c r="G288" s="1262">
        <f>IF($F180&gt;5000000,ROUND(184.58*($F180/1000)^-0.2263,2),0)</f>
        <v>12.01</v>
      </c>
      <c r="H288" s="1262">
        <f t="shared" ref="H288:N288" si="165">IF($F180&gt;5000000,ROUND(184.58*($F180/1000)^-0.2263,2),0)</f>
        <v>12.01</v>
      </c>
      <c r="I288" s="1262">
        <f t="shared" si="165"/>
        <v>12.01</v>
      </c>
      <c r="J288" s="1262">
        <f t="shared" si="165"/>
        <v>12.01</v>
      </c>
      <c r="K288" s="1262">
        <f t="shared" si="165"/>
        <v>12.01</v>
      </c>
      <c r="L288" s="1262">
        <f t="shared" si="165"/>
        <v>12.01</v>
      </c>
      <c r="M288" s="1262">
        <f t="shared" si="165"/>
        <v>12.01</v>
      </c>
      <c r="N288" s="1262">
        <f t="shared" si="165"/>
        <v>12.01</v>
      </c>
    </row>
    <row r="289" spans="1:14" s="896" customFormat="1" ht="15" hidden="1" customHeight="1">
      <c r="A289" s="2653"/>
      <c r="B289" s="2656"/>
      <c r="C289" s="2658"/>
      <c r="D289" s="1260"/>
      <c r="E289" s="1261"/>
      <c r="F289" s="1256" t="s">
        <v>2696</v>
      </c>
      <c r="G289" s="1262">
        <f>IF($F180&gt;5000000,ROUND(87.29*($F180/1000)^-0.2263,2),0)</f>
        <v>5.68</v>
      </c>
      <c r="H289" s="1262">
        <f t="shared" ref="H289:N289" si="166">IF($F180&gt;5000000,ROUND(87.29*($F180/1000)^-0.2263,2),0)</f>
        <v>5.68</v>
      </c>
      <c r="I289" s="1262">
        <f t="shared" si="166"/>
        <v>5.68</v>
      </c>
      <c r="J289" s="1262">
        <f t="shared" si="166"/>
        <v>5.68</v>
      </c>
      <c r="K289" s="1262">
        <f t="shared" si="166"/>
        <v>5.68</v>
      </c>
      <c r="L289" s="1262">
        <f t="shared" si="166"/>
        <v>5.68</v>
      </c>
      <c r="M289" s="1262">
        <f t="shared" si="166"/>
        <v>5.68</v>
      </c>
      <c r="N289" s="1262">
        <f t="shared" si="166"/>
        <v>5.68</v>
      </c>
    </row>
    <row r="290" spans="1:14" s="896" customFormat="1" ht="15" hidden="1" customHeight="1" thickBot="1">
      <c r="A290" s="2660" t="s">
        <v>2709</v>
      </c>
      <c r="B290" s="2661"/>
      <c r="C290" s="2661"/>
      <c r="D290" s="2661"/>
      <c r="E290" s="1269"/>
      <c r="F290" s="1267"/>
      <c r="G290" s="1270">
        <f>IF($F180&lt;=5000000,IF(G$285&gt;G$286,G$286,IF(G$285&lt;G$287,G$287,G$285)),IF(G$285&gt;G$288,G$288,IF(G$285&lt;G$289,G$289,G$285)))</f>
        <v>12.01</v>
      </c>
      <c r="H290" s="1270">
        <f t="shared" ref="H290:N290" si="167">IF($F180&lt;=5000000,IF(H$285&gt;H$286,H$286,IF(H$285&lt;H$287,H$287,H$285)),IF(H$285&gt;H$288,H$288,IF(H$285&lt;H$289,H$289,H$285)))</f>
        <v>10.23</v>
      </c>
      <c r="I290" s="1270">
        <f t="shared" si="167"/>
        <v>12.01</v>
      </c>
      <c r="J290" s="1270">
        <f t="shared" si="167"/>
        <v>12.01</v>
      </c>
      <c r="K290" s="1270">
        <f t="shared" si="167"/>
        <v>12.01</v>
      </c>
      <c r="L290" s="1270">
        <f t="shared" si="167"/>
        <v>5.68</v>
      </c>
      <c r="M290" s="1270">
        <f t="shared" si="167"/>
        <v>5.68</v>
      </c>
      <c r="N290" s="1270">
        <f t="shared" si="167"/>
        <v>5.68</v>
      </c>
    </row>
    <row r="291" spans="1:14" s="896" customFormat="1" ht="15" hidden="1" customHeight="1" thickBot="1">
      <c r="G291" s="1246"/>
      <c r="H291" s="1246"/>
      <c r="I291" s="1246"/>
      <c r="J291" s="1246"/>
      <c r="K291" s="1246"/>
      <c r="L291" s="1246"/>
      <c r="M291" s="1246"/>
      <c r="N291" s="1246"/>
    </row>
    <row r="292" spans="1:14" s="896" customFormat="1" ht="15" hidden="1" customHeight="1">
      <c r="A292" s="1247"/>
      <c r="B292" s="1248"/>
      <c r="C292" s="1249" t="s">
        <v>2712</v>
      </c>
      <c r="D292" s="1250"/>
      <c r="E292" s="1248"/>
      <c r="F292" s="1251"/>
      <c r="G292" s="1271"/>
      <c r="H292" s="1272"/>
      <c r="I292" s="1273"/>
      <c r="J292" s="1273"/>
      <c r="K292" s="1273"/>
      <c r="L292" s="1273"/>
      <c r="M292" s="1273"/>
      <c r="N292" s="1273"/>
    </row>
    <row r="293" spans="1:14" s="896" customFormat="1" ht="14.25" hidden="1" customHeight="1">
      <c r="A293" s="2651"/>
      <c r="B293" s="2654" t="s">
        <v>79</v>
      </c>
      <c r="C293" s="1254" t="s">
        <v>2713</v>
      </c>
      <c r="D293" s="1063"/>
      <c r="E293" s="1255"/>
      <c r="F293" s="1256" t="s">
        <v>2714</v>
      </c>
      <c r="G293" s="1274">
        <f>ROUND(28.978-3.173*LOG($F224/1000),2)</f>
        <v>12.18</v>
      </c>
      <c r="H293" s="1275"/>
      <c r="I293" s="1276"/>
      <c r="J293" s="1276"/>
      <c r="K293" s="1276"/>
      <c r="L293" s="1276"/>
      <c r="M293" s="1276"/>
      <c r="N293" s="1276"/>
    </row>
    <row r="294" spans="1:14" s="896" customFormat="1" ht="14.25" hidden="1" customHeight="1">
      <c r="A294" s="2652"/>
      <c r="B294" s="2655"/>
      <c r="C294" s="1277" t="s">
        <v>2715</v>
      </c>
      <c r="D294" s="1133"/>
      <c r="E294" s="1133"/>
      <c r="F294" s="1278"/>
      <c r="G294" s="1279">
        <f>IF($F224&lt;=5000000,17.24,0)</f>
        <v>0</v>
      </c>
      <c r="H294" s="1280"/>
      <c r="I294" s="1281"/>
      <c r="J294" s="147"/>
      <c r="K294" s="1281"/>
      <c r="L294" s="1281"/>
      <c r="M294" s="1281"/>
      <c r="N294" s="1281"/>
    </row>
    <row r="295" spans="1:14" s="896" customFormat="1" ht="15" hidden="1" customHeight="1">
      <c r="A295" s="2653"/>
      <c r="B295" s="2656"/>
      <c r="C295" s="1277" t="s">
        <v>2716</v>
      </c>
      <c r="D295" s="1133"/>
      <c r="E295" s="1063"/>
      <c r="F295" s="1278"/>
      <c r="G295" s="1279">
        <f>IF($F224&gt;3000000000,8.43,0)</f>
        <v>0</v>
      </c>
      <c r="H295" s="1282"/>
      <c r="I295" s="1283"/>
      <c r="J295" s="1283"/>
      <c r="K295" s="1283"/>
      <c r="L295" s="1283"/>
      <c r="M295" s="1283"/>
      <c r="N295" s="1283"/>
    </row>
    <row r="296" spans="1:14" s="896" customFormat="1" ht="15" hidden="1" customHeight="1" thickBot="1">
      <c r="A296" s="2660" t="s">
        <v>2717</v>
      </c>
      <c r="B296" s="2661"/>
      <c r="C296" s="2661"/>
      <c r="D296" s="2661"/>
      <c r="E296" s="1269"/>
      <c r="F296" s="1267"/>
      <c r="G296" s="1284">
        <f>IF($F224&lt;=5000000,G294,IF($F224&gt;3000000000,G295,G293))</f>
        <v>12.18</v>
      </c>
      <c r="H296" s="1285"/>
      <c r="I296" s="1286"/>
      <c r="J296" s="1286"/>
      <c r="K296" s="1286"/>
      <c r="L296" s="1286"/>
      <c r="M296" s="1286"/>
      <c r="N296" s="1286"/>
    </row>
    <row r="297" spans="1:14" ht="15" customHeight="1"/>
    <row r="298" spans="1:14" s="885" customFormat="1" ht="15" customHeight="1">
      <c r="A298" s="1032"/>
      <c r="B298" s="1032"/>
      <c r="C298" s="1033"/>
      <c r="D298" s="1034"/>
      <c r="E298" s="1035" t="s">
        <v>2513</v>
      </c>
      <c r="F298" s="1036" t="str">
        <f>+F82</f>
        <v>ア）東梅田駅</v>
      </c>
      <c r="G298" s="1037"/>
      <c r="H298" s="1038"/>
      <c r="I298" s="1039"/>
      <c r="J298" s="844"/>
      <c r="K298" s="844"/>
      <c r="L298" s="844"/>
      <c r="M298" s="844"/>
      <c r="N298" s="845" t="s">
        <v>2718</v>
      </c>
    </row>
    <row r="299" spans="1:14" s="896" customFormat="1" ht="15" customHeight="1">
      <c r="A299" s="1040"/>
      <c r="B299" s="1040"/>
      <c r="C299" s="1041" t="s">
        <v>2719</v>
      </c>
      <c r="D299" s="808"/>
      <c r="E299" s="1042"/>
      <c r="F299" s="1043" t="s">
        <v>2598</v>
      </c>
      <c r="G299" s="1044" t="s">
        <v>2720</v>
      </c>
      <c r="H299" s="1045"/>
      <c r="J299" s="1046"/>
      <c r="K299" s="1046"/>
      <c r="L299" s="1046"/>
      <c r="M299" s="1043"/>
      <c r="N299" s="1047"/>
    </row>
    <row r="300" spans="1:14" s="885" customFormat="1" ht="15" customHeight="1">
      <c r="A300" s="877"/>
      <c r="B300" s="878"/>
      <c r="C300" s="879" t="s">
        <v>2522</v>
      </c>
      <c r="D300" s="880"/>
      <c r="E300" s="881"/>
      <c r="F300" s="882" t="s">
        <v>2600</v>
      </c>
      <c r="G300" s="883">
        <f t="shared" ref="G300:N300" si="168">+G8</f>
        <v>16.600000000000001</v>
      </c>
      <c r="H300" s="883">
        <f t="shared" si="168"/>
        <v>11</v>
      </c>
      <c r="I300" s="883">
        <f t="shared" si="168"/>
        <v>16.600000000000001</v>
      </c>
      <c r="J300" s="883">
        <f t="shared" si="168"/>
        <v>16.600000000000001</v>
      </c>
      <c r="K300" s="883">
        <f t="shared" si="168"/>
        <v>16.600000000000001</v>
      </c>
      <c r="L300" s="883">
        <f t="shared" si="168"/>
        <v>0</v>
      </c>
      <c r="M300" s="883">
        <f t="shared" si="168"/>
        <v>0</v>
      </c>
      <c r="N300" s="884">
        <f t="shared" si="168"/>
        <v>0</v>
      </c>
    </row>
    <row r="301" spans="1:14" s="885" customFormat="1" ht="15" customHeight="1">
      <c r="A301" s="1294"/>
      <c r="B301" s="1295"/>
      <c r="C301" s="888" t="s">
        <v>2524</v>
      </c>
      <c r="D301" s="889"/>
      <c r="E301" s="890"/>
      <c r="F301" s="891" t="s">
        <v>2601</v>
      </c>
      <c r="G301" s="1289" t="str">
        <f t="shared" ref="G301:N301" si="169">G85</f>
        <v>改修</v>
      </c>
      <c r="H301" s="1289" t="str">
        <f t="shared" si="169"/>
        <v>改修</v>
      </c>
      <c r="I301" s="1289" t="str">
        <f t="shared" si="169"/>
        <v>改修</v>
      </c>
      <c r="J301" s="1289" t="str">
        <f t="shared" si="169"/>
        <v>改修</v>
      </c>
      <c r="K301" s="1289" t="str">
        <f t="shared" si="169"/>
        <v>改修</v>
      </c>
      <c r="L301" s="1289">
        <f t="shared" si="169"/>
        <v>0</v>
      </c>
      <c r="M301" s="1289">
        <f t="shared" si="169"/>
        <v>0</v>
      </c>
      <c r="N301" s="1289">
        <f t="shared" si="169"/>
        <v>0</v>
      </c>
    </row>
    <row r="302" spans="1:14" s="896" customFormat="1" ht="15" customHeight="1">
      <c r="A302" s="1294"/>
      <c r="B302" s="1295"/>
      <c r="C302" s="1295" t="s">
        <v>2602</v>
      </c>
      <c r="D302" s="1295"/>
      <c r="E302" s="1190" t="str">
        <f>+E86</f>
        <v>無し</v>
      </c>
      <c r="F302" s="1053" t="s">
        <v>2517</v>
      </c>
      <c r="G302" s="1290" t="str">
        <f t="shared" ref="G302:N302" si="170">+G3</f>
        <v>工事1</v>
      </c>
      <c r="H302" s="1290" t="str">
        <f t="shared" si="170"/>
        <v>工事2</v>
      </c>
      <c r="I302" s="1290" t="str">
        <f t="shared" si="170"/>
        <v>工事3</v>
      </c>
      <c r="J302" s="1290" t="str">
        <f t="shared" si="170"/>
        <v>工事4</v>
      </c>
      <c r="K302" s="1290" t="str">
        <f t="shared" si="170"/>
        <v>工事5</v>
      </c>
      <c r="L302" s="1290">
        <f t="shared" si="170"/>
        <v>0</v>
      </c>
      <c r="M302" s="1290">
        <f t="shared" si="170"/>
        <v>0</v>
      </c>
      <c r="N302" s="1291">
        <f t="shared" si="170"/>
        <v>0</v>
      </c>
    </row>
    <row r="303" spans="1:14" s="896" customFormat="1" ht="15" customHeight="1">
      <c r="A303" s="1294"/>
      <c r="B303" s="1295"/>
      <c r="C303" s="1295" t="s">
        <v>2604</v>
      </c>
      <c r="D303" s="1295"/>
      <c r="E303" s="1190" t="str">
        <f>+E87</f>
        <v>有り</v>
      </c>
      <c r="F303" s="1056" t="s">
        <v>2605</v>
      </c>
      <c r="G303" s="1057"/>
      <c r="H303" s="1292"/>
      <c r="I303" s="1292"/>
      <c r="J303" s="1292"/>
      <c r="K303" s="1292"/>
      <c r="L303" s="1292"/>
      <c r="M303" s="1292"/>
      <c r="N303" s="1293"/>
    </row>
    <row r="304" spans="1:14" s="896" customFormat="1" ht="15" customHeight="1">
      <c r="A304" s="2662" t="s">
        <v>2525</v>
      </c>
      <c r="B304" s="2663"/>
      <c r="C304" s="2663"/>
      <c r="D304" s="2663"/>
      <c r="E304" s="2663"/>
      <c r="F304" s="2664"/>
      <c r="G304" s="894" t="str">
        <f t="shared" ref="G304:N304" si="171">+G10</f>
        <v>積上げ・率処理併用</v>
      </c>
      <c r="H304" s="894" t="str">
        <f t="shared" si="171"/>
        <v>積上げ・率処理併用</v>
      </c>
      <c r="I304" s="894" t="str">
        <f t="shared" si="171"/>
        <v>積上げ・率処理併用</v>
      </c>
      <c r="J304" s="894" t="str">
        <f t="shared" si="171"/>
        <v>積上げ・率処理併用</v>
      </c>
      <c r="K304" s="894" t="str">
        <f t="shared" si="171"/>
        <v>積上げ・率処理併用</v>
      </c>
      <c r="L304" s="894" t="str">
        <f t="shared" si="171"/>
        <v>積上げ・率処理併用</v>
      </c>
      <c r="M304" s="894" t="str">
        <f t="shared" si="171"/>
        <v>積上げ・率処理併用</v>
      </c>
      <c r="N304" s="895" t="str">
        <f t="shared" si="171"/>
        <v>積上げ・率処理併用</v>
      </c>
    </row>
    <row r="305" spans="1:14" s="896" customFormat="1" ht="30" customHeight="1">
      <c r="A305" s="2665" t="s">
        <v>2526</v>
      </c>
      <c r="B305" s="2666"/>
      <c r="C305" s="2666"/>
      <c r="D305" s="2666"/>
      <c r="E305" s="2666"/>
      <c r="F305" s="2667"/>
      <c r="G305" s="1296" t="str">
        <f>G11</f>
        <v>駅施設</v>
      </c>
      <c r="H305" s="1296" t="str">
        <f t="shared" ref="H305:N306" si="172">H11</f>
        <v>駅施設</v>
      </c>
      <c r="I305" s="1296" t="str">
        <f t="shared" si="172"/>
        <v>駅施設</v>
      </c>
      <c r="J305" s="1296" t="str">
        <f t="shared" si="172"/>
        <v>駅施設</v>
      </c>
      <c r="K305" s="1296" t="str">
        <f t="shared" si="172"/>
        <v>駅施設</v>
      </c>
      <c r="L305" s="1296" t="str">
        <f t="shared" si="172"/>
        <v>駅施設</v>
      </c>
      <c r="M305" s="1296" t="str">
        <f t="shared" si="172"/>
        <v>駅施設</v>
      </c>
      <c r="N305" s="1297" t="str">
        <f t="shared" si="172"/>
        <v>駅施設</v>
      </c>
    </row>
    <row r="306" spans="1:14" s="896" customFormat="1" ht="30" customHeight="1">
      <c r="A306" s="2596" t="s">
        <v>2527</v>
      </c>
      <c r="B306" s="2597"/>
      <c r="C306" s="2597"/>
      <c r="D306" s="2597"/>
      <c r="E306" s="2597"/>
      <c r="F306" s="2598"/>
      <c r="G306" s="1298" t="str">
        <f>G12</f>
        <v>無し</v>
      </c>
      <c r="H306" s="1298" t="str">
        <f t="shared" si="172"/>
        <v>無し</v>
      </c>
      <c r="I306" s="1298" t="str">
        <f t="shared" si="172"/>
        <v>無し</v>
      </c>
      <c r="J306" s="1298" t="str">
        <f t="shared" si="172"/>
        <v>無し</v>
      </c>
      <c r="K306" s="1298" t="str">
        <f t="shared" si="172"/>
        <v>無し</v>
      </c>
      <c r="L306" s="1298" t="str">
        <f t="shared" si="172"/>
        <v>無し</v>
      </c>
      <c r="M306" s="1298" t="str">
        <f t="shared" si="172"/>
        <v>無し</v>
      </c>
      <c r="N306" s="1299" t="str">
        <f t="shared" si="172"/>
        <v>無し</v>
      </c>
    </row>
    <row r="307" spans="1:14" s="896" customFormat="1" ht="15" customHeight="1">
      <c r="A307" s="877"/>
      <c r="B307" s="901" t="s">
        <v>2609</v>
      </c>
      <c r="C307" s="902"/>
      <c r="D307" s="902"/>
      <c r="E307" s="903"/>
      <c r="F307" s="904">
        <f>SUM(G307:N307)</f>
        <v>180108589</v>
      </c>
      <c r="G307" s="905">
        <f>+G308+G312</f>
        <v>37535989</v>
      </c>
      <c r="H307" s="905">
        <f t="shared" ref="H307:N307" si="173">+H308+H312</f>
        <v>22314574</v>
      </c>
      <c r="I307" s="905">
        <f t="shared" si="173"/>
        <v>2131490</v>
      </c>
      <c r="J307" s="905">
        <f t="shared" si="173"/>
        <v>107919312</v>
      </c>
      <c r="K307" s="905">
        <f t="shared" si="173"/>
        <v>10207224</v>
      </c>
      <c r="L307" s="905">
        <f t="shared" si="173"/>
        <v>0</v>
      </c>
      <c r="M307" s="905">
        <f t="shared" si="173"/>
        <v>0</v>
      </c>
      <c r="N307" s="906">
        <f t="shared" si="173"/>
        <v>0</v>
      </c>
    </row>
    <row r="308" spans="1:14" s="896" customFormat="1" ht="15" customHeight="1">
      <c r="A308" s="1294"/>
      <c r="B308" s="1295"/>
      <c r="C308" s="694" t="s">
        <v>2529</v>
      </c>
      <c r="D308" s="695"/>
      <c r="E308" s="881"/>
      <c r="F308" s="907">
        <f>SUM(G308:N308)</f>
        <v>169811470</v>
      </c>
      <c r="G308" s="1300">
        <f t="shared" ref="G308:N308" si="174">+G92+G14</f>
        <v>33199287</v>
      </c>
      <c r="H308" s="1300">
        <f t="shared" si="174"/>
        <v>21555646</v>
      </c>
      <c r="I308" s="1300">
        <f t="shared" si="174"/>
        <v>2052481</v>
      </c>
      <c r="J308" s="1300">
        <f t="shared" si="174"/>
        <v>103212496</v>
      </c>
      <c r="K308" s="1300">
        <f t="shared" si="174"/>
        <v>9791560</v>
      </c>
      <c r="L308" s="1300">
        <f t="shared" si="174"/>
        <v>0</v>
      </c>
      <c r="M308" s="1300">
        <f t="shared" si="174"/>
        <v>0</v>
      </c>
      <c r="N308" s="1301">
        <f t="shared" si="174"/>
        <v>0</v>
      </c>
    </row>
    <row r="309" spans="1:14" s="896" customFormat="1" ht="15" customHeight="1">
      <c r="A309" s="1294"/>
      <c r="B309" s="1295"/>
      <c r="C309" s="1063"/>
      <c r="D309" s="1063"/>
      <c r="E309" s="910"/>
      <c r="F309" s="911" t="s">
        <v>2610</v>
      </c>
      <c r="G309" s="912">
        <f t="shared" ref="G309:N309" si="175">SUM(G401:G410)</f>
        <v>3455824</v>
      </c>
      <c r="H309" s="912">
        <f t="shared" si="175"/>
        <v>10832</v>
      </c>
      <c r="I309" s="912">
        <f t="shared" si="175"/>
        <v>342973</v>
      </c>
      <c r="J309" s="912">
        <f t="shared" si="175"/>
        <v>1481506</v>
      </c>
      <c r="K309" s="912">
        <f t="shared" si="175"/>
        <v>403697</v>
      </c>
      <c r="L309" s="912">
        <f t="shared" si="175"/>
        <v>0</v>
      </c>
      <c r="M309" s="912">
        <f t="shared" si="175"/>
        <v>0</v>
      </c>
      <c r="N309" s="913">
        <f t="shared" si="175"/>
        <v>0</v>
      </c>
    </row>
    <row r="310" spans="1:14" s="896" customFormat="1" ht="15" customHeight="1">
      <c r="A310" s="1294"/>
      <c r="B310" s="1295"/>
      <c r="C310" s="1063"/>
      <c r="D310" s="1063"/>
      <c r="E310" s="910"/>
      <c r="F310" s="911" t="s">
        <v>2611</v>
      </c>
      <c r="G310" s="912">
        <f t="shared" ref="G310:N310" si="176">SUM(G447:G449)</f>
        <v>0</v>
      </c>
      <c r="H310" s="912">
        <f t="shared" si="176"/>
        <v>0</v>
      </c>
      <c r="I310" s="912">
        <f t="shared" si="176"/>
        <v>0</v>
      </c>
      <c r="J310" s="912">
        <f t="shared" si="176"/>
        <v>0</v>
      </c>
      <c r="K310" s="912">
        <f t="shared" si="176"/>
        <v>0</v>
      </c>
      <c r="L310" s="912">
        <f t="shared" si="176"/>
        <v>0</v>
      </c>
      <c r="M310" s="912">
        <f t="shared" si="176"/>
        <v>0</v>
      </c>
      <c r="N310" s="913">
        <f t="shared" si="176"/>
        <v>0</v>
      </c>
    </row>
    <row r="311" spans="1:14" s="896" customFormat="1" ht="15" customHeight="1">
      <c r="A311" s="1294"/>
      <c r="B311" s="1295"/>
      <c r="C311" s="1063"/>
      <c r="D311" s="1063"/>
      <c r="E311" s="910"/>
      <c r="F311" s="1064" t="s">
        <v>2612</v>
      </c>
      <c r="G311" s="912">
        <f t="shared" ref="G311:N311" si="177">+G350</f>
        <v>0</v>
      </c>
      <c r="H311" s="912">
        <f t="shared" si="177"/>
        <v>0</v>
      </c>
      <c r="I311" s="912">
        <f t="shared" si="177"/>
        <v>0</v>
      </c>
      <c r="J311" s="912">
        <f t="shared" si="177"/>
        <v>0</v>
      </c>
      <c r="K311" s="912">
        <f t="shared" si="177"/>
        <v>0</v>
      </c>
      <c r="L311" s="912">
        <f t="shared" si="177"/>
        <v>0</v>
      </c>
      <c r="M311" s="912">
        <f t="shared" si="177"/>
        <v>0</v>
      </c>
      <c r="N311" s="913">
        <f t="shared" si="177"/>
        <v>0</v>
      </c>
    </row>
    <row r="312" spans="1:14" s="896" customFormat="1" ht="15" customHeight="1">
      <c r="A312" s="1294"/>
      <c r="B312" s="1295"/>
      <c r="C312" s="701" t="s">
        <v>2530</v>
      </c>
      <c r="D312" s="701"/>
      <c r="E312" s="910"/>
      <c r="F312" s="911">
        <f t="shared" ref="F312:F329" si="178">SUM(G312:N312)</f>
        <v>10297119</v>
      </c>
      <c r="G312" s="912">
        <f t="shared" ref="G312:N312" si="179">G313+G314</f>
        <v>4336702</v>
      </c>
      <c r="H312" s="912">
        <f t="shared" si="179"/>
        <v>758928</v>
      </c>
      <c r="I312" s="912">
        <f t="shared" si="179"/>
        <v>79009</v>
      </c>
      <c r="J312" s="912">
        <f t="shared" si="179"/>
        <v>4706816</v>
      </c>
      <c r="K312" s="912">
        <f t="shared" si="179"/>
        <v>415664</v>
      </c>
      <c r="L312" s="912">
        <f t="shared" si="179"/>
        <v>0</v>
      </c>
      <c r="M312" s="912">
        <f t="shared" si="179"/>
        <v>0</v>
      </c>
      <c r="N312" s="913">
        <f t="shared" si="179"/>
        <v>0</v>
      </c>
    </row>
    <row r="313" spans="1:14" s="896" customFormat="1" ht="15" customHeight="1">
      <c r="A313" s="1294"/>
      <c r="B313" s="1295"/>
      <c r="C313" s="914" t="s">
        <v>2531</v>
      </c>
      <c r="D313" s="701"/>
      <c r="E313" s="910"/>
      <c r="F313" s="911">
        <f t="shared" si="178"/>
        <v>5278947</v>
      </c>
      <c r="G313" s="912">
        <f>IF(G304="積上げ",0,G390)</f>
        <v>995267</v>
      </c>
      <c r="H313" s="912">
        <f t="shared" ref="H313:N313" si="180">IF(H304="積上げ",0,H390)</f>
        <v>620490</v>
      </c>
      <c r="I313" s="912">
        <f t="shared" si="180"/>
        <v>58706</v>
      </c>
      <c r="J313" s="912">
        <f t="shared" si="180"/>
        <v>3297130</v>
      </c>
      <c r="K313" s="912">
        <f t="shared" si="180"/>
        <v>307354</v>
      </c>
      <c r="L313" s="912">
        <f t="shared" si="180"/>
        <v>0</v>
      </c>
      <c r="M313" s="912">
        <f t="shared" si="180"/>
        <v>0</v>
      </c>
      <c r="N313" s="913">
        <f t="shared" si="180"/>
        <v>0</v>
      </c>
    </row>
    <row r="314" spans="1:14" s="896" customFormat="1" ht="15" customHeight="1">
      <c r="A314" s="1294"/>
      <c r="B314" s="1295"/>
      <c r="C314" s="914" t="s">
        <v>2537</v>
      </c>
      <c r="D314" s="701"/>
      <c r="E314" s="910"/>
      <c r="F314" s="911">
        <f t="shared" si="178"/>
        <v>5018172</v>
      </c>
      <c r="G314" s="1302">
        <f t="shared" ref="G314:N316" si="181">+G98+G22</f>
        <v>3341435</v>
      </c>
      <c r="H314" s="1302">
        <f t="shared" si="181"/>
        <v>138438</v>
      </c>
      <c r="I314" s="1302">
        <f t="shared" si="181"/>
        <v>20303</v>
      </c>
      <c r="J314" s="1302">
        <f t="shared" si="181"/>
        <v>1409686</v>
      </c>
      <c r="K314" s="1302">
        <f t="shared" si="181"/>
        <v>108310</v>
      </c>
      <c r="L314" s="1302">
        <f t="shared" si="181"/>
        <v>0</v>
      </c>
      <c r="M314" s="1302">
        <f t="shared" si="181"/>
        <v>0</v>
      </c>
      <c r="N314" s="1303">
        <f t="shared" si="181"/>
        <v>0</v>
      </c>
    </row>
    <row r="315" spans="1:14" s="896" customFormat="1" ht="15" customHeight="1">
      <c r="A315" s="1294"/>
      <c r="B315" s="1295"/>
      <c r="C315" s="922" t="s">
        <v>2721</v>
      </c>
      <c r="D315" s="701"/>
      <c r="E315" s="910"/>
      <c r="F315" s="911">
        <f t="shared" si="178"/>
        <v>0</v>
      </c>
      <c r="G315" s="912">
        <f t="shared" si="181"/>
        <v>0</v>
      </c>
      <c r="H315" s="912">
        <f t="shared" si="181"/>
        <v>0</v>
      </c>
      <c r="I315" s="912">
        <f t="shared" si="181"/>
        <v>0</v>
      </c>
      <c r="J315" s="912">
        <f t="shared" si="181"/>
        <v>0</v>
      </c>
      <c r="K315" s="912">
        <f t="shared" si="181"/>
        <v>0</v>
      </c>
      <c r="L315" s="912">
        <f t="shared" si="181"/>
        <v>0</v>
      </c>
      <c r="M315" s="912">
        <f t="shared" si="181"/>
        <v>0</v>
      </c>
      <c r="N315" s="913">
        <f t="shared" si="181"/>
        <v>0</v>
      </c>
    </row>
    <row r="316" spans="1:14" s="896" customFormat="1" ht="15" customHeight="1">
      <c r="A316" s="1294"/>
      <c r="B316" s="1295"/>
      <c r="C316" s="923" t="s">
        <v>2539</v>
      </c>
      <c r="D316" s="924"/>
      <c r="E316" s="925"/>
      <c r="F316" s="926">
        <f t="shared" si="178"/>
        <v>0</v>
      </c>
      <c r="G316" s="912">
        <f t="shared" si="181"/>
        <v>0</v>
      </c>
      <c r="H316" s="912">
        <f t="shared" si="181"/>
        <v>0</v>
      </c>
      <c r="I316" s="912">
        <f t="shared" si="181"/>
        <v>0</v>
      </c>
      <c r="J316" s="912">
        <f t="shared" si="181"/>
        <v>0</v>
      </c>
      <c r="K316" s="912">
        <f t="shared" si="181"/>
        <v>0</v>
      </c>
      <c r="L316" s="912">
        <f t="shared" si="181"/>
        <v>0</v>
      </c>
      <c r="M316" s="912">
        <f t="shared" si="181"/>
        <v>0</v>
      </c>
      <c r="N316" s="913">
        <f t="shared" si="181"/>
        <v>0</v>
      </c>
    </row>
    <row r="317" spans="1:14" s="896" customFormat="1" ht="15" customHeight="1">
      <c r="A317" s="1069"/>
      <c r="B317" s="1070"/>
      <c r="C317" s="1071" t="s">
        <v>2613</v>
      </c>
      <c r="D317" s="1072"/>
      <c r="E317" s="945"/>
      <c r="F317" s="946">
        <f t="shared" si="178"/>
        <v>0</v>
      </c>
      <c r="G317" s="1073">
        <f t="shared" ref="G317:N317" si="182">+G351</f>
        <v>0</v>
      </c>
      <c r="H317" s="1073">
        <f t="shared" si="182"/>
        <v>0</v>
      </c>
      <c r="I317" s="1073">
        <f t="shared" si="182"/>
        <v>0</v>
      </c>
      <c r="J317" s="1073">
        <f t="shared" si="182"/>
        <v>0</v>
      </c>
      <c r="K317" s="1073">
        <f t="shared" si="182"/>
        <v>0</v>
      </c>
      <c r="L317" s="1073">
        <f t="shared" si="182"/>
        <v>0</v>
      </c>
      <c r="M317" s="1073">
        <f t="shared" si="182"/>
        <v>0</v>
      </c>
      <c r="N317" s="1074">
        <f t="shared" si="182"/>
        <v>0</v>
      </c>
    </row>
    <row r="318" spans="1:14" s="896" customFormat="1" ht="15" customHeight="1">
      <c r="A318" s="1294"/>
      <c r="B318" s="924" t="s">
        <v>2614</v>
      </c>
      <c r="C318" s="924"/>
      <c r="D318" s="924"/>
      <c r="E318" s="925"/>
      <c r="F318" s="926">
        <f t="shared" si="178"/>
        <v>46191411</v>
      </c>
      <c r="G318" s="1075">
        <f t="shared" ref="G318:N318" si="183">G319+G324</f>
        <v>9467011</v>
      </c>
      <c r="H318" s="1075">
        <f t="shared" si="183"/>
        <v>5402426</v>
      </c>
      <c r="I318" s="1075">
        <f t="shared" si="183"/>
        <v>520510</v>
      </c>
      <c r="J318" s="1075">
        <f t="shared" si="183"/>
        <v>28166688</v>
      </c>
      <c r="K318" s="1075">
        <f t="shared" si="183"/>
        <v>2634776</v>
      </c>
      <c r="L318" s="1075">
        <f t="shared" si="183"/>
        <v>0</v>
      </c>
      <c r="M318" s="1075">
        <f t="shared" si="183"/>
        <v>0</v>
      </c>
      <c r="N318" s="1076">
        <f t="shared" si="183"/>
        <v>0</v>
      </c>
    </row>
    <row r="319" spans="1:14" s="896" customFormat="1" ht="15" customHeight="1">
      <c r="A319" s="1294"/>
      <c r="B319" s="1295"/>
      <c r="C319" s="694" t="s">
        <v>2615</v>
      </c>
      <c r="D319" s="694"/>
      <c r="E319" s="882"/>
      <c r="F319" s="907">
        <f t="shared" si="178"/>
        <v>20525769</v>
      </c>
      <c r="G319" s="1077">
        <f t="shared" ref="G319:N319" si="184">G320+G323</f>
        <v>4136784</v>
      </c>
      <c r="H319" s="1077">
        <f t="shared" si="184"/>
        <v>2259369</v>
      </c>
      <c r="I319" s="1077">
        <f t="shared" si="184"/>
        <v>220375</v>
      </c>
      <c r="J319" s="1077">
        <f t="shared" si="184"/>
        <v>12730627</v>
      </c>
      <c r="K319" s="1077">
        <f t="shared" si="184"/>
        <v>1178614</v>
      </c>
      <c r="L319" s="1077">
        <f t="shared" si="184"/>
        <v>0</v>
      </c>
      <c r="M319" s="1077">
        <f t="shared" si="184"/>
        <v>0</v>
      </c>
      <c r="N319" s="1078">
        <f t="shared" si="184"/>
        <v>0</v>
      </c>
    </row>
    <row r="320" spans="1:14" s="896" customFormat="1" ht="15" customHeight="1">
      <c r="A320" s="1294"/>
      <c r="B320" s="1295"/>
      <c r="C320" s="1079" t="s">
        <v>2616</v>
      </c>
      <c r="D320" s="1079"/>
      <c r="E320" s="891"/>
      <c r="F320" s="911">
        <f t="shared" si="178"/>
        <v>20525769</v>
      </c>
      <c r="G320" s="1080">
        <f t="shared" ref="G320:N320" si="185">SUM(G321:G322)-G323</f>
        <v>4136784</v>
      </c>
      <c r="H320" s="1080">
        <f t="shared" si="185"/>
        <v>2259369</v>
      </c>
      <c r="I320" s="1080">
        <f t="shared" si="185"/>
        <v>220375</v>
      </c>
      <c r="J320" s="1080">
        <f t="shared" si="185"/>
        <v>12730627</v>
      </c>
      <c r="K320" s="1080">
        <f t="shared" si="185"/>
        <v>1178614</v>
      </c>
      <c r="L320" s="1080">
        <f t="shared" si="185"/>
        <v>0</v>
      </c>
      <c r="M320" s="1080">
        <f t="shared" si="185"/>
        <v>0</v>
      </c>
      <c r="N320" s="1081">
        <f t="shared" si="185"/>
        <v>0</v>
      </c>
    </row>
    <row r="321" spans="1:14" s="896" customFormat="1" ht="15" customHeight="1">
      <c r="A321" s="1294"/>
      <c r="B321" s="1295"/>
      <c r="C321" s="1082" t="s">
        <v>2617</v>
      </c>
      <c r="D321" s="1082"/>
      <c r="E321" s="910"/>
      <c r="F321" s="911">
        <f t="shared" si="178"/>
        <v>20421303</v>
      </c>
      <c r="G321" s="912">
        <f t="shared" ref="G321:N321" si="186">SUM(G416:G418)+G414</f>
        <v>4069171</v>
      </c>
      <c r="H321" s="912">
        <f t="shared" si="186"/>
        <v>2259369</v>
      </c>
      <c r="I321" s="912">
        <f t="shared" si="186"/>
        <v>213548</v>
      </c>
      <c r="J321" s="912">
        <f t="shared" si="186"/>
        <v>12708674</v>
      </c>
      <c r="K321" s="912">
        <f t="shared" si="186"/>
        <v>1170541</v>
      </c>
      <c r="L321" s="912">
        <f t="shared" si="186"/>
        <v>0</v>
      </c>
      <c r="M321" s="912">
        <f t="shared" si="186"/>
        <v>0</v>
      </c>
      <c r="N321" s="913">
        <f t="shared" si="186"/>
        <v>0</v>
      </c>
    </row>
    <row r="322" spans="1:14" s="896" customFormat="1" ht="15" customHeight="1">
      <c r="A322" s="1294"/>
      <c r="B322" s="1295"/>
      <c r="C322" s="1082" t="s">
        <v>2618</v>
      </c>
      <c r="D322" s="1082"/>
      <c r="E322" s="910"/>
      <c r="F322" s="911">
        <f t="shared" si="178"/>
        <v>104466</v>
      </c>
      <c r="G322" s="912">
        <f t="shared" ref="G322:N322" si="187">SUM(G419:G430)</f>
        <v>67613</v>
      </c>
      <c r="H322" s="912">
        <f t="shared" si="187"/>
        <v>0</v>
      </c>
      <c r="I322" s="912">
        <f t="shared" si="187"/>
        <v>6827</v>
      </c>
      <c r="J322" s="912">
        <f t="shared" si="187"/>
        <v>21953</v>
      </c>
      <c r="K322" s="912">
        <f t="shared" si="187"/>
        <v>8073</v>
      </c>
      <c r="L322" s="912">
        <f t="shared" si="187"/>
        <v>0</v>
      </c>
      <c r="M322" s="912">
        <f t="shared" si="187"/>
        <v>0</v>
      </c>
      <c r="N322" s="913">
        <f t="shared" si="187"/>
        <v>0</v>
      </c>
    </row>
    <row r="323" spans="1:14" s="896" customFormat="1" ht="15" customHeight="1">
      <c r="A323" s="1294"/>
      <c r="B323" s="1295"/>
      <c r="C323" s="1082" t="s">
        <v>2619</v>
      </c>
      <c r="D323" s="1082"/>
      <c r="E323" s="910"/>
      <c r="F323" s="911">
        <f t="shared" si="178"/>
        <v>0</v>
      </c>
      <c r="G323" s="912">
        <f t="shared" ref="G323:N323" si="188">+G428</f>
        <v>0</v>
      </c>
      <c r="H323" s="912">
        <f t="shared" si="188"/>
        <v>0</v>
      </c>
      <c r="I323" s="912">
        <f t="shared" si="188"/>
        <v>0</v>
      </c>
      <c r="J323" s="912">
        <f t="shared" si="188"/>
        <v>0</v>
      </c>
      <c r="K323" s="912">
        <f t="shared" si="188"/>
        <v>0</v>
      </c>
      <c r="L323" s="912">
        <f t="shared" si="188"/>
        <v>0</v>
      </c>
      <c r="M323" s="912">
        <f t="shared" si="188"/>
        <v>0</v>
      </c>
      <c r="N323" s="913">
        <f t="shared" si="188"/>
        <v>0</v>
      </c>
    </row>
    <row r="324" spans="1:14" s="896" customFormat="1" ht="15" customHeight="1">
      <c r="A324" s="1294"/>
      <c r="B324" s="1295"/>
      <c r="C324" s="701" t="s">
        <v>2620</v>
      </c>
      <c r="D324" s="701"/>
      <c r="E324" s="910"/>
      <c r="F324" s="911">
        <f t="shared" si="178"/>
        <v>25665642</v>
      </c>
      <c r="G324" s="912">
        <f>SUM(G325:G328)</f>
        <v>5330227</v>
      </c>
      <c r="H324" s="912">
        <f t="shared" ref="H324:N324" si="189">SUM(H325:H328)</f>
        <v>3143057</v>
      </c>
      <c r="I324" s="912">
        <f t="shared" si="189"/>
        <v>300135</v>
      </c>
      <c r="J324" s="912">
        <f t="shared" si="189"/>
        <v>15436061</v>
      </c>
      <c r="K324" s="912">
        <f t="shared" si="189"/>
        <v>1456162</v>
      </c>
      <c r="L324" s="912">
        <f t="shared" si="189"/>
        <v>0</v>
      </c>
      <c r="M324" s="912">
        <f t="shared" si="189"/>
        <v>0</v>
      </c>
      <c r="N324" s="913">
        <f t="shared" si="189"/>
        <v>0</v>
      </c>
    </row>
    <row r="325" spans="1:14" s="896" customFormat="1" ht="15" customHeight="1">
      <c r="A325" s="1294"/>
      <c r="B325" s="1295"/>
      <c r="C325" s="1082" t="s">
        <v>2617</v>
      </c>
      <c r="D325" s="1082"/>
      <c r="E325" s="910"/>
      <c r="F325" s="1083">
        <f t="shared" si="178"/>
        <v>24366536</v>
      </c>
      <c r="G325" s="912">
        <f>IF(G452=0,0,+G452-G469)</f>
        <v>5060397</v>
      </c>
      <c r="H325" s="912">
        <f t="shared" ref="H325:N325" si="190">IF(H452=0,0,+H452-H469)</f>
        <v>2983941</v>
      </c>
      <c r="I325" s="912">
        <f t="shared" si="190"/>
        <v>284906</v>
      </c>
      <c r="J325" s="912">
        <f t="shared" si="190"/>
        <v>14654853</v>
      </c>
      <c r="K325" s="912">
        <f t="shared" si="190"/>
        <v>1382439</v>
      </c>
      <c r="L325" s="912">
        <f t="shared" si="190"/>
        <v>0</v>
      </c>
      <c r="M325" s="912">
        <f t="shared" si="190"/>
        <v>0</v>
      </c>
      <c r="N325" s="913">
        <f t="shared" si="190"/>
        <v>0</v>
      </c>
    </row>
    <row r="326" spans="1:14" s="896" customFormat="1" ht="15" customHeight="1">
      <c r="A326" s="1294"/>
      <c r="B326" s="1295"/>
      <c r="C326" s="1082" t="s">
        <v>2621</v>
      </c>
      <c r="D326" s="1082"/>
      <c r="E326" s="910"/>
      <c r="F326" s="911">
        <f t="shared" si="178"/>
        <v>1299106</v>
      </c>
      <c r="G326" s="912">
        <f t="shared" ref="G326:N326" si="191">+G453+G454</f>
        <v>269830</v>
      </c>
      <c r="H326" s="912">
        <f t="shared" si="191"/>
        <v>159116</v>
      </c>
      <c r="I326" s="912">
        <f t="shared" si="191"/>
        <v>15229</v>
      </c>
      <c r="J326" s="912">
        <f t="shared" si="191"/>
        <v>781208</v>
      </c>
      <c r="K326" s="912">
        <f t="shared" si="191"/>
        <v>73723</v>
      </c>
      <c r="L326" s="912">
        <f t="shared" si="191"/>
        <v>0</v>
      </c>
      <c r="M326" s="912">
        <f t="shared" si="191"/>
        <v>0</v>
      </c>
      <c r="N326" s="913">
        <f t="shared" si="191"/>
        <v>0</v>
      </c>
    </row>
    <row r="327" spans="1:14" s="896" customFormat="1" ht="15" customHeight="1">
      <c r="A327" s="1294"/>
      <c r="B327" s="1295"/>
      <c r="C327" s="1082" t="s">
        <v>2622</v>
      </c>
      <c r="D327" s="1082"/>
      <c r="E327" s="910"/>
      <c r="F327" s="911">
        <f t="shared" si="178"/>
        <v>0</v>
      </c>
      <c r="G327" s="912">
        <f t="shared" ref="G327:N327" si="192">SUM(G455:G459)</f>
        <v>0</v>
      </c>
      <c r="H327" s="912">
        <f t="shared" si="192"/>
        <v>0</v>
      </c>
      <c r="I327" s="912">
        <f t="shared" si="192"/>
        <v>0</v>
      </c>
      <c r="J327" s="912">
        <f t="shared" si="192"/>
        <v>0</v>
      </c>
      <c r="K327" s="912">
        <f t="shared" si="192"/>
        <v>0</v>
      </c>
      <c r="L327" s="912">
        <f t="shared" si="192"/>
        <v>0</v>
      </c>
      <c r="M327" s="912">
        <f t="shared" si="192"/>
        <v>0</v>
      </c>
      <c r="N327" s="913">
        <f t="shared" si="192"/>
        <v>0</v>
      </c>
    </row>
    <row r="328" spans="1:14" s="896" customFormat="1" ht="15" customHeight="1">
      <c r="A328" s="1294"/>
      <c r="B328" s="1295"/>
      <c r="C328" s="924" t="s">
        <v>2623</v>
      </c>
      <c r="D328" s="1295"/>
      <c r="E328" s="925"/>
      <c r="F328" s="926">
        <f t="shared" si="178"/>
        <v>0</v>
      </c>
      <c r="G328" s="1075">
        <f>IF(G460=0,0,+G460-G469)</f>
        <v>0</v>
      </c>
      <c r="H328" s="1075">
        <f t="shared" ref="H328:N328" si="193">IF(H460=0,0,+H460-H469)</f>
        <v>0</v>
      </c>
      <c r="I328" s="1075">
        <f t="shared" si="193"/>
        <v>0</v>
      </c>
      <c r="J328" s="1075">
        <f t="shared" si="193"/>
        <v>0</v>
      </c>
      <c r="K328" s="1075">
        <f t="shared" si="193"/>
        <v>0</v>
      </c>
      <c r="L328" s="1075">
        <f t="shared" si="193"/>
        <v>0</v>
      </c>
      <c r="M328" s="1075">
        <f t="shared" si="193"/>
        <v>0</v>
      </c>
      <c r="N328" s="1076">
        <f t="shared" si="193"/>
        <v>0</v>
      </c>
    </row>
    <row r="329" spans="1:14" s="896" customFormat="1" ht="15" customHeight="1">
      <c r="A329" s="1084"/>
      <c r="B329" s="902" t="s">
        <v>2624</v>
      </c>
      <c r="C329" s="902"/>
      <c r="D329" s="902"/>
      <c r="E329" s="1085"/>
      <c r="F329" s="904">
        <f t="shared" si="178"/>
        <v>226300000</v>
      </c>
      <c r="G329" s="905">
        <f t="shared" ref="G329:N329" si="194">G307+G318</f>
        <v>47003000</v>
      </c>
      <c r="H329" s="905">
        <f t="shared" si="194"/>
        <v>27717000</v>
      </c>
      <c r="I329" s="905">
        <f t="shared" si="194"/>
        <v>2652000</v>
      </c>
      <c r="J329" s="905">
        <f t="shared" si="194"/>
        <v>136086000</v>
      </c>
      <c r="K329" s="905">
        <f t="shared" si="194"/>
        <v>12842000</v>
      </c>
      <c r="L329" s="905">
        <f t="shared" si="194"/>
        <v>0</v>
      </c>
      <c r="M329" s="905">
        <f t="shared" si="194"/>
        <v>0</v>
      </c>
      <c r="N329" s="906">
        <f t="shared" si="194"/>
        <v>0</v>
      </c>
    </row>
    <row r="330" spans="1:14" s="896" customFormat="1" ht="15" customHeight="1">
      <c r="A330" s="1086"/>
      <c r="B330" s="1295"/>
      <c r="C330" s="1087" t="s">
        <v>2625</v>
      </c>
      <c r="D330" s="1087"/>
      <c r="E330" s="1088"/>
      <c r="F330" s="1042"/>
      <c r="G330" s="1089" t="s">
        <v>2626</v>
      </c>
      <c r="H330" s="1090"/>
      <c r="I330" s="1046"/>
      <c r="J330" s="1046"/>
      <c r="K330" s="1046"/>
      <c r="L330" s="1046"/>
      <c r="M330" s="1046"/>
      <c r="N330" s="1046"/>
    </row>
    <row r="331" spans="1:14" s="896" customFormat="1" ht="15" customHeight="1">
      <c r="A331" s="877"/>
      <c r="B331" s="878"/>
      <c r="C331" s="878"/>
      <c r="D331" s="878"/>
      <c r="E331" s="1091"/>
      <c r="F331" s="1092" t="s">
        <v>2517</v>
      </c>
      <c r="G331" s="1304" t="str">
        <f>+G302</f>
        <v>工事1</v>
      </c>
      <c r="H331" s="1093" t="str">
        <f t="shared" ref="H331:N331" si="195">+H302</f>
        <v>工事2</v>
      </c>
      <c r="I331" s="1093" t="str">
        <f t="shared" si="195"/>
        <v>工事3</v>
      </c>
      <c r="J331" s="1093" t="str">
        <f t="shared" si="195"/>
        <v>工事4</v>
      </c>
      <c r="K331" s="1093" t="str">
        <f t="shared" si="195"/>
        <v>工事5</v>
      </c>
      <c r="L331" s="1093">
        <f t="shared" si="195"/>
        <v>0</v>
      </c>
      <c r="M331" s="1093">
        <f t="shared" si="195"/>
        <v>0</v>
      </c>
      <c r="N331" s="1094">
        <f t="shared" si="195"/>
        <v>0</v>
      </c>
    </row>
    <row r="332" spans="1:14" s="896" customFormat="1" ht="15" customHeight="1">
      <c r="A332" s="929" t="s">
        <v>2540</v>
      </c>
      <c r="B332" s="930"/>
      <c r="C332" s="930"/>
      <c r="D332" s="930"/>
      <c r="E332" s="1190"/>
      <c r="F332" s="1305"/>
      <c r="G332" s="1306"/>
      <c r="H332" s="1306"/>
      <c r="I332" s="1306"/>
      <c r="J332" s="1306"/>
      <c r="K332" s="1306"/>
      <c r="L332" s="1306"/>
      <c r="M332" s="1306"/>
      <c r="N332" s="1307"/>
    </row>
    <row r="333" spans="1:14" s="896" customFormat="1" ht="15" customHeight="1">
      <c r="A333" s="2642"/>
      <c r="B333" s="2604" t="s">
        <v>2541</v>
      </c>
      <c r="C333" s="695" t="s">
        <v>2542</v>
      </c>
      <c r="D333" s="695"/>
      <c r="E333" s="882"/>
      <c r="F333" s="907">
        <f t="shared" ref="F333:F339" si="196">SUM(G333:N333)</f>
        <v>0</v>
      </c>
      <c r="G333" s="1077">
        <f t="shared" ref="G333:N348" si="197">+G117+G26</f>
        <v>0</v>
      </c>
      <c r="H333" s="1077">
        <f t="shared" si="197"/>
        <v>0</v>
      </c>
      <c r="I333" s="1077">
        <f t="shared" si="197"/>
        <v>0</v>
      </c>
      <c r="J333" s="1077">
        <f t="shared" si="197"/>
        <v>0</v>
      </c>
      <c r="K333" s="1077">
        <f t="shared" si="197"/>
        <v>0</v>
      </c>
      <c r="L333" s="1077">
        <f t="shared" si="197"/>
        <v>0</v>
      </c>
      <c r="M333" s="1077">
        <f t="shared" si="197"/>
        <v>0</v>
      </c>
      <c r="N333" s="1078">
        <f t="shared" si="197"/>
        <v>0</v>
      </c>
    </row>
    <row r="334" spans="1:14" s="896" customFormat="1" ht="15" customHeight="1">
      <c r="A334" s="2602"/>
      <c r="B334" s="2605"/>
      <c r="C334" s="702" t="s">
        <v>2543</v>
      </c>
      <c r="D334" s="702"/>
      <c r="E334" s="910"/>
      <c r="F334" s="911">
        <f t="shared" si="196"/>
        <v>164168355</v>
      </c>
      <c r="G334" s="912">
        <f t="shared" si="197"/>
        <v>29776935</v>
      </c>
      <c r="H334" s="912">
        <f t="shared" si="197"/>
        <v>21544814</v>
      </c>
      <c r="I334" s="912">
        <f t="shared" si="197"/>
        <v>1712888</v>
      </c>
      <c r="J334" s="912">
        <f t="shared" si="197"/>
        <v>101741858</v>
      </c>
      <c r="K334" s="912">
        <f t="shared" si="197"/>
        <v>9391860</v>
      </c>
      <c r="L334" s="912">
        <f t="shared" si="197"/>
        <v>0</v>
      </c>
      <c r="M334" s="912">
        <f t="shared" si="197"/>
        <v>0</v>
      </c>
      <c r="N334" s="913">
        <f t="shared" si="197"/>
        <v>0</v>
      </c>
    </row>
    <row r="335" spans="1:14" s="896" customFormat="1" ht="15" customHeight="1">
      <c r="A335" s="2602"/>
      <c r="B335" s="2605"/>
      <c r="C335" s="936" t="s">
        <v>2544</v>
      </c>
      <c r="D335" s="702"/>
      <c r="E335" s="910"/>
      <c r="F335" s="911">
        <f t="shared" si="196"/>
        <v>0</v>
      </c>
      <c r="G335" s="912">
        <f t="shared" si="197"/>
        <v>0</v>
      </c>
      <c r="H335" s="912">
        <f t="shared" si="197"/>
        <v>0</v>
      </c>
      <c r="I335" s="912">
        <f t="shared" si="197"/>
        <v>0</v>
      </c>
      <c r="J335" s="912">
        <f t="shared" si="197"/>
        <v>0</v>
      </c>
      <c r="K335" s="912">
        <f t="shared" si="197"/>
        <v>0</v>
      </c>
      <c r="L335" s="912">
        <f t="shared" si="197"/>
        <v>0</v>
      </c>
      <c r="M335" s="912">
        <f t="shared" si="197"/>
        <v>0</v>
      </c>
      <c r="N335" s="913">
        <f t="shared" si="197"/>
        <v>0</v>
      </c>
    </row>
    <row r="336" spans="1:14" s="896" customFormat="1" ht="15" customHeight="1">
      <c r="A336" s="2602"/>
      <c r="B336" s="2606"/>
      <c r="C336" s="936" t="s">
        <v>2545</v>
      </c>
      <c r="D336" s="702"/>
      <c r="E336" s="910"/>
      <c r="F336" s="911">
        <f t="shared" si="196"/>
        <v>0</v>
      </c>
      <c r="G336" s="912">
        <f t="shared" si="197"/>
        <v>0</v>
      </c>
      <c r="H336" s="912">
        <f t="shared" si="197"/>
        <v>0</v>
      </c>
      <c r="I336" s="912">
        <f t="shared" si="197"/>
        <v>0</v>
      </c>
      <c r="J336" s="912">
        <f t="shared" si="197"/>
        <v>0</v>
      </c>
      <c r="K336" s="912">
        <f t="shared" si="197"/>
        <v>0</v>
      </c>
      <c r="L336" s="912">
        <f t="shared" si="197"/>
        <v>0</v>
      </c>
      <c r="M336" s="912">
        <f t="shared" si="197"/>
        <v>0</v>
      </c>
      <c r="N336" s="913">
        <f t="shared" si="197"/>
        <v>0</v>
      </c>
    </row>
    <row r="337" spans="1:14" s="896" customFormat="1" ht="15" customHeight="1">
      <c r="A337" s="2602"/>
      <c r="B337" s="2607" t="s">
        <v>2546</v>
      </c>
      <c r="C337" s="701" t="s">
        <v>2628</v>
      </c>
      <c r="D337" s="702"/>
      <c r="E337" s="910"/>
      <c r="F337" s="911">
        <f t="shared" si="196"/>
        <v>0</v>
      </c>
      <c r="G337" s="1302">
        <f t="shared" si="197"/>
        <v>0</v>
      </c>
      <c r="H337" s="1302">
        <f t="shared" si="197"/>
        <v>0</v>
      </c>
      <c r="I337" s="1302">
        <f t="shared" si="197"/>
        <v>0</v>
      </c>
      <c r="J337" s="1302">
        <f t="shared" si="197"/>
        <v>0</v>
      </c>
      <c r="K337" s="1302">
        <f t="shared" si="197"/>
        <v>0</v>
      </c>
      <c r="L337" s="1302">
        <f t="shared" si="197"/>
        <v>0</v>
      </c>
      <c r="M337" s="1302">
        <f t="shared" si="197"/>
        <v>0</v>
      </c>
      <c r="N337" s="1303">
        <f t="shared" si="197"/>
        <v>0</v>
      </c>
    </row>
    <row r="338" spans="1:14" s="896" customFormat="1" ht="13.5" customHeight="1">
      <c r="A338" s="2602"/>
      <c r="B338" s="2605"/>
      <c r="C338" s="701" t="s">
        <v>2548</v>
      </c>
      <c r="D338" s="702"/>
      <c r="E338" s="910"/>
      <c r="F338" s="911">
        <f t="shared" si="196"/>
        <v>0</v>
      </c>
      <c r="G338" s="1302">
        <f t="shared" si="197"/>
        <v>0</v>
      </c>
      <c r="H338" s="1302">
        <f t="shared" si="197"/>
        <v>0</v>
      </c>
      <c r="I338" s="1302">
        <f t="shared" si="197"/>
        <v>0</v>
      </c>
      <c r="J338" s="1302">
        <f t="shared" si="197"/>
        <v>0</v>
      </c>
      <c r="K338" s="1302">
        <f t="shared" si="197"/>
        <v>0</v>
      </c>
      <c r="L338" s="1302">
        <f t="shared" si="197"/>
        <v>0</v>
      </c>
      <c r="M338" s="1302">
        <f t="shared" si="197"/>
        <v>0</v>
      </c>
      <c r="N338" s="1303">
        <f t="shared" si="197"/>
        <v>0</v>
      </c>
    </row>
    <row r="339" spans="1:14" s="896" customFormat="1" ht="13.5" customHeight="1">
      <c r="A339" s="2602"/>
      <c r="B339" s="2605"/>
      <c r="C339" s="702" t="s">
        <v>2549</v>
      </c>
      <c r="D339" s="702"/>
      <c r="E339" s="910"/>
      <c r="F339" s="911">
        <f t="shared" si="196"/>
        <v>5171700</v>
      </c>
      <c r="G339" s="1302">
        <f t="shared" si="197"/>
        <v>3347200</v>
      </c>
      <c r="H339" s="1302">
        <f t="shared" si="197"/>
        <v>0</v>
      </c>
      <c r="I339" s="1302">
        <f t="shared" si="197"/>
        <v>338000</v>
      </c>
      <c r="J339" s="1302">
        <f t="shared" si="197"/>
        <v>1086800</v>
      </c>
      <c r="K339" s="1302">
        <f t="shared" si="197"/>
        <v>399700</v>
      </c>
      <c r="L339" s="1302">
        <f t="shared" si="197"/>
        <v>0</v>
      </c>
      <c r="M339" s="1302">
        <f t="shared" si="197"/>
        <v>0</v>
      </c>
      <c r="N339" s="1303">
        <f t="shared" si="197"/>
        <v>0</v>
      </c>
    </row>
    <row r="340" spans="1:14" s="896" customFormat="1" ht="13.5" customHeight="1">
      <c r="A340" s="2602"/>
      <c r="B340" s="2605"/>
      <c r="C340" s="702" t="s">
        <v>2629</v>
      </c>
      <c r="D340" s="702"/>
      <c r="E340" s="910"/>
      <c r="F340" s="911"/>
      <c r="G340" s="912">
        <f t="shared" si="197"/>
        <v>0</v>
      </c>
      <c r="H340" s="912">
        <f t="shared" si="197"/>
        <v>0</v>
      </c>
      <c r="I340" s="912">
        <f t="shared" si="197"/>
        <v>0</v>
      </c>
      <c r="J340" s="912">
        <f t="shared" si="197"/>
        <v>0</v>
      </c>
      <c r="K340" s="912">
        <f t="shared" si="197"/>
        <v>0</v>
      </c>
      <c r="L340" s="912">
        <f t="shared" si="197"/>
        <v>0</v>
      </c>
      <c r="M340" s="912">
        <f t="shared" si="197"/>
        <v>0</v>
      </c>
      <c r="N340" s="913">
        <f t="shared" si="197"/>
        <v>0</v>
      </c>
    </row>
    <row r="341" spans="1:14" s="896" customFormat="1" ht="13.5" customHeight="1">
      <c r="A341" s="2602"/>
      <c r="B341" s="2605"/>
      <c r="C341" s="702" t="s">
        <v>2551</v>
      </c>
      <c r="D341" s="702"/>
      <c r="E341" s="910"/>
      <c r="F341" s="911"/>
      <c r="G341" s="912">
        <f t="shared" si="197"/>
        <v>0</v>
      </c>
      <c r="H341" s="912">
        <f t="shared" si="197"/>
        <v>0</v>
      </c>
      <c r="I341" s="912">
        <f t="shared" si="197"/>
        <v>0</v>
      </c>
      <c r="J341" s="912">
        <f t="shared" si="197"/>
        <v>0</v>
      </c>
      <c r="K341" s="912">
        <f t="shared" si="197"/>
        <v>0</v>
      </c>
      <c r="L341" s="912">
        <f t="shared" si="197"/>
        <v>0</v>
      </c>
      <c r="M341" s="912">
        <f t="shared" si="197"/>
        <v>0</v>
      </c>
      <c r="N341" s="913">
        <f t="shared" si="197"/>
        <v>0</v>
      </c>
    </row>
    <row r="342" spans="1:14" s="896" customFormat="1" ht="13.5" customHeight="1">
      <c r="A342" s="2602"/>
      <c r="B342" s="2605"/>
      <c r="C342" s="702" t="s">
        <v>2552</v>
      </c>
      <c r="D342" s="702"/>
      <c r="E342" s="910"/>
      <c r="F342" s="911">
        <f t="shared" ref="F342:F352" si="198">SUM(G342:N342)</f>
        <v>0</v>
      </c>
      <c r="G342" s="1302">
        <f t="shared" si="197"/>
        <v>0</v>
      </c>
      <c r="H342" s="1302">
        <f t="shared" si="197"/>
        <v>0</v>
      </c>
      <c r="I342" s="1302">
        <f t="shared" si="197"/>
        <v>0</v>
      </c>
      <c r="J342" s="1302">
        <f t="shared" si="197"/>
        <v>0</v>
      </c>
      <c r="K342" s="1302">
        <f t="shared" si="197"/>
        <v>0</v>
      </c>
      <c r="L342" s="1302">
        <f t="shared" si="197"/>
        <v>0</v>
      </c>
      <c r="M342" s="1302">
        <f t="shared" si="197"/>
        <v>0</v>
      </c>
      <c r="N342" s="1303">
        <f t="shared" si="197"/>
        <v>0</v>
      </c>
    </row>
    <row r="343" spans="1:14" s="896" customFormat="1" ht="13.5" customHeight="1">
      <c r="A343" s="2602"/>
      <c r="B343" s="2605"/>
      <c r="C343" s="937" t="s">
        <v>2553</v>
      </c>
      <c r="D343" s="702"/>
      <c r="E343" s="910"/>
      <c r="F343" s="911">
        <f t="shared" si="198"/>
        <v>0</v>
      </c>
      <c r="G343" s="912">
        <f t="shared" si="197"/>
        <v>0</v>
      </c>
      <c r="H343" s="912">
        <f t="shared" si="197"/>
        <v>0</v>
      </c>
      <c r="I343" s="912">
        <f t="shared" si="197"/>
        <v>0</v>
      </c>
      <c r="J343" s="912">
        <f t="shared" si="197"/>
        <v>0</v>
      </c>
      <c r="K343" s="912">
        <f t="shared" si="197"/>
        <v>0</v>
      </c>
      <c r="L343" s="912">
        <f t="shared" si="197"/>
        <v>0</v>
      </c>
      <c r="M343" s="912">
        <f t="shared" si="197"/>
        <v>0</v>
      </c>
      <c r="N343" s="913">
        <f t="shared" si="197"/>
        <v>0</v>
      </c>
    </row>
    <row r="344" spans="1:14" s="896" customFormat="1" ht="13.5" customHeight="1">
      <c r="A344" s="2602"/>
      <c r="B344" s="2605"/>
      <c r="C344" s="938" t="s">
        <v>2631</v>
      </c>
      <c r="D344" s="702"/>
      <c r="E344" s="910"/>
      <c r="F344" s="911">
        <f t="shared" si="198"/>
        <v>0</v>
      </c>
      <c r="G344" s="912">
        <f t="shared" si="197"/>
        <v>0</v>
      </c>
      <c r="H344" s="912">
        <f t="shared" si="197"/>
        <v>0</v>
      </c>
      <c r="I344" s="912">
        <f t="shared" si="197"/>
        <v>0</v>
      </c>
      <c r="J344" s="912">
        <f t="shared" si="197"/>
        <v>0</v>
      </c>
      <c r="K344" s="912">
        <f t="shared" si="197"/>
        <v>0</v>
      </c>
      <c r="L344" s="912">
        <f t="shared" si="197"/>
        <v>0</v>
      </c>
      <c r="M344" s="912">
        <f t="shared" si="197"/>
        <v>0</v>
      </c>
      <c r="N344" s="913">
        <f t="shared" si="197"/>
        <v>0</v>
      </c>
    </row>
    <row r="345" spans="1:14" s="896" customFormat="1" ht="13.5" customHeight="1">
      <c r="A345" s="2602"/>
      <c r="B345" s="2606"/>
      <c r="C345" s="702" t="s">
        <v>2555</v>
      </c>
      <c r="D345" s="702"/>
      <c r="E345" s="910"/>
      <c r="F345" s="911">
        <f t="shared" si="198"/>
        <v>0</v>
      </c>
      <c r="G345" s="1302">
        <f t="shared" si="197"/>
        <v>0</v>
      </c>
      <c r="H345" s="1302">
        <f t="shared" si="197"/>
        <v>0</v>
      </c>
      <c r="I345" s="1302">
        <f t="shared" si="197"/>
        <v>0</v>
      </c>
      <c r="J345" s="1302">
        <f t="shared" si="197"/>
        <v>0</v>
      </c>
      <c r="K345" s="1302">
        <f t="shared" si="197"/>
        <v>0</v>
      </c>
      <c r="L345" s="1302">
        <f t="shared" si="197"/>
        <v>0</v>
      </c>
      <c r="M345" s="1302">
        <f t="shared" si="197"/>
        <v>0</v>
      </c>
      <c r="N345" s="1303">
        <f t="shared" si="197"/>
        <v>0</v>
      </c>
    </row>
    <row r="346" spans="1:14" s="896" customFormat="1" ht="13.5" customHeight="1">
      <c r="A346" s="2602"/>
      <c r="B346" s="2607" t="s">
        <v>2556</v>
      </c>
      <c r="C346" s="936" t="s">
        <v>2557</v>
      </c>
      <c r="D346" s="702"/>
      <c r="E346" s="910"/>
      <c r="F346" s="911">
        <f t="shared" si="198"/>
        <v>471415</v>
      </c>
      <c r="G346" s="1302">
        <f t="shared" si="197"/>
        <v>75152</v>
      </c>
      <c r="H346" s="1302">
        <f t="shared" si="197"/>
        <v>10832</v>
      </c>
      <c r="I346" s="1302">
        <f t="shared" si="197"/>
        <v>1593</v>
      </c>
      <c r="J346" s="1302">
        <f t="shared" si="197"/>
        <v>383838</v>
      </c>
      <c r="K346" s="1302">
        <f t="shared" si="197"/>
        <v>0</v>
      </c>
      <c r="L346" s="1302">
        <f t="shared" si="197"/>
        <v>0</v>
      </c>
      <c r="M346" s="1302">
        <f t="shared" si="197"/>
        <v>0</v>
      </c>
      <c r="N346" s="1303">
        <f t="shared" si="197"/>
        <v>0</v>
      </c>
    </row>
    <row r="347" spans="1:14" s="896" customFormat="1" ht="13.5" customHeight="1">
      <c r="A347" s="2602"/>
      <c r="B347" s="2605"/>
      <c r="C347" s="936" t="s">
        <v>2558</v>
      </c>
      <c r="D347" s="702"/>
      <c r="E347" s="910"/>
      <c r="F347" s="911">
        <f t="shared" si="198"/>
        <v>0</v>
      </c>
      <c r="G347" s="912">
        <f t="shared" si="197"/>
        <v>0</v>
      </c>
      <c r="H347" s="912">
        <f t="shared" si="197"/>
        <v>0</v>
      </c>
      <c r="I347" s="912">
        <f t="shared" si="197"/>
        <v>0</v>
      </c>
      <c r="J347" s="912">
        <f t="shared" si="197"/>
        <v>0</v>
      </c>
      <c r="K347" s="912">
        <f t="shared" si="197"/>
        <v>0</v>
      </c>
      <c r="L347" s="912">
        <f t="shared" si="197"/>
        <v>0</v>
      </c>
      <c r="M347" s="912">
        <f t="shared" si="197"/>
        <v>0</v>
      </c>
      <c r="N347" s="913">
        <f t="shared" si="197"/>
        <v>0</v>
      </c>
    </row>
    <row r="348" spans="1:14" s="896" customFormat="1" ht="13.5" customHeight="1">
      <c r="A348" s="2602"/>
      <c r="B348" s="2605"/>
      <c r="C348" s="702" t="s">
        <v>2559</v>
      </c>
      <c r="D348" s="702"/>
      <c r="E348" s="910"/>
      <c r="F348" s="911">
        <f t="shared" si="198"/>
        <v>0</v>
      </c>
      <c r="G348" s="912">
        <f t="shared" si="197"/>
        <v>0</v>
      </c>
      <c r="H348" s="912">
        <f t="shared" si="197"/>
        <v>0</v>
      </c>
      <c r="I348" s="912">
        <f t="shared" si="197"/>
        <v>0</v>
      </c>
      <c r="J348" s="912">
        <f t="shared" si="197"/>
        <v>0</v>
      </c>
      <c r="K348" s="912">
        <f t="shared" si="197"/>
        <v>0</v>
      </c>
      <c r="L348" s="912">
        <f t="shared" si="197"/>
        <v>0</v>
      </c>
      <c r="M348" s="912">
        <f t="shared" si="197"/>
        <v>0</v>
      </c>
      <c r="N348" s="913">
        <f t="shared" si="197"/>
        <v>0</v>
      </c>
    </row>
    <row r="349" spans="1:14" s="896" customFormat="1" ht="13.5" customHeight="1">
      <c r="A349" s="2602"/>
      <c r="B349" s="2605"/>
      <c r="C349" s="702" t="s">
        <v>2722</v>
      </c>
      <c r="D349" s="702"/>
      <c r="E349" s="910"/>
      <c r="F349" s="911">
        <f t="shared" si="198"/>
        <v>0</v>
      </c>
      <c r="G349" s="1302">
        <f t="shared" ref="G349:N352" si="199">+G133+G42</f>
        <v>0</v>
      </c>
      <c r="H349" s="1302">
        <f t="shared" si="199"/>
        <v>0</v>
      </c>
      <c r="I349" s="1302">
        <f t="shared" si="199"/>
        <v>0</v>
      </c>
      <c r="J349" s="1302">
        <f t="shared" si="199"/>
        <v>0</v>
      </c>
      <c r="K349" s="1302">
        <f t="shared" si="199"/>
        <v>0</v>
      </c>
      <c r="L349" s="1302">
        <f t="shared" si="199"/>
        <v>0</v>
      </c>
      <c r="M349" s="1302">
        <f t="shared" si="199"/>
        <v>0</v>
      </c>
      <c r="N349" s="1303">
        <f t="shared" si="199"/>
        <v>0</v>
      </c>
    </row>
    <row r="350" spans="1:14" s="896" customFormat="1" ht="13.5" customHeight="1">
      <c r="A350" s="2602"/>
      <c r="B350" s="2605"/>
      <c r="C350" s="940" t="s">
        <v>2561</v>
      </c>
      <c r="D350" s="940"/>
      <c r="E350" s="941"/>
      <c r="F350" s="911">
        <f t="shared" si="198"/>
        <v>0</v>
      </c>
      <c r="G350" s="1302">
        <f t="shared" si="199"/>
        <v>0</v>
      </c>
      <c r="H350" s="1302">
        <f t="shared" si="199"/>
        <v>0</v>
      </c>
      <c r="I350" s="1302">
        <f t="shared" si="199"/>
        <v>0</v>
      </c>
      <c r="J350" s="1302">
        <f t="shared" si="199"/>
        <v>0</v>
      </c>
      <c r="K350" s="1302">
        <f t="shared" si="199"/>
        <v>0</v>
      </c>
      <c r="L350" s="1302">
        <f t="shared" si="199"/>
        <v>0</v>
      </c>
      <c r="M350" s="1302">
        <f t="shared" si="199"/>
        <v>0</v>
      </c>
      <c r="N350" s="1303">
        <f t="shared" si="199"/>
        <v>0</v>
      </c>
    </row>
    <row r="351" spans="1:14" s="896" customFormat="1" ht="13.5" customHeight="1">
      <c r="A351" s="2602"/>
      <c r="B351" s="2605"/>
      <c r="C351" s="940" t="s">
        <v>2562</v>
      </c>
      <c r="D351" s="940"/>
      <c r="E351" s="941"/>
      <c r="F351" s="911">
        <f t="shared" si="198"/>
        <v>0</v>
      </c>
      <c r="G351" s="1302">
        <f t="shared" si="199"/>
        <v>0</v>
      </c>
      <c r="H351" s="1302">
        <f t="shared" si="199"/>
        <v>0</v>
      </c>
      <c r="I351" s="1302">
        <f t="shared" si="199"/>
        <v>0</v>
      </c>
      <c r="J351" s="1302">
        <f t="shared" si="199"/>
        <v>0</v>
      </c>
      <c r="K351" s="1302">
        <f t="shared" si="199"/>
        <v>0</v>
      </c>
      <c r="L351" s="1302">
        <f t="shared" si="199"/>
        <v>0</v>
      </c>
      <c r="M351" s="1302">
        <f t="shared" si="199"/>
        <v>0</v>
      </c>
      <c r="N351" s="1303">
        <f t="shared" si="199"/>
        <v>0</v>
      </c>
    </row>
    <row r="352" spans="1:14" s="896" customFormat="1" ht="13.5" customHeight="1">
      <c r="A352" s="2603"/>
      <c r="B352" s="2608"/>
      <c r="C352" s="944" t="s">
        <v>2563</v>
      </c>
      <c r="D352" s="944"/>
      <c r="E352" s="945"/>
      <c r="F352" s="946">
        <f t="shared" si="198"/>
        <v>0</v>
      </c>
      <c r="G352" s="1308">
        <f t="shared" si="199"/>
        <v>0</v>
      </c>
      <c r="H352" s="1308">
        <f t="shared" si="199"/>
        <v>0</v>
      </c>
      <c r="I352" s="1308">
        <f t="shared" si="199"/>
        <v>0</v>
      </c>
      <c r="J352" s="1308">
        <f t="shared" si="199"/>
        <v>0</v>
      </c>
      <c r="K352" s="1308">
        <f t="shared" si="199"/>
        <v>0</v>
      </c>
      <c r="L352" s="1308">
        <f t="shared" si="199"/>
        <v>0</v>
      </c>
      <c r="M352" s="1308">
        <f t="shared" si="199"/>
        <v>0</v>
      </c>
      <c r="N352" s="1309">
        <f t="shared" si="199"/>
        <v>0</v>
      </c>
    </row>
    <row r="353" spans="1:14" s="896" customFormat="1" ht="13.5" customHeight="1">
      <c r="A353" s="1295"/>
      <c r="B353" s="1295"/>
      <c r="C353" s="1099" t="s">
        <v>2632</v>
      </c>
      <c r="D353" s="1099"/>
      <c r="E353" s="923"/>
      <c r="F353" s="1042"/>
      <c r="G353" s="1046"/>
      <c r="H353" s="1046"/>
      <c r="I353" s="1046"/>
      <c r="J353" s="1046"/>
      <c r="K353" s="1046"/>
      <c r="L353" s="1046"/>
      <c r="M353" s="1046"/>
      <c r="N353" s="1100" t="s">
        <v>2723</v>
      </c>
    </row>
    <row r="354" spans="1:14" s="896" customFormat="1" ht="13.5" customHeight="1">
      <c r="A354" s="1295"/>
      <c r="B354" s="1295"/>
      <c r="C354" s="930" t="s">
        <v>2634</v>
      </c>
      <c r="D354" s="930"/>
      <c r="E354" s="923"/>
      <c r="F354" s="1042"/>
      <c r="G354" s="1046"/>
      <c r="H354" s="1046"/>
      <c r="I354" s="1046"/>
      <c r="J354" s="1046"/>
      <c r="K354" s="1046"/>
      <c r="L354" s="1046"/>
      <c r="M354" s="1046"/>
      <c r="N354" s="1100"/>
    </row>
    <row r="355" spans="1:14" s="896" customFormat="1" ht="13.5" customHeight="1">
      <c r="A355" s="877"/>
      <c r="B355" s="878"/>
      <c r="C355" s="878"/>
      <c r="D355" s="2616" t="s">
        <v>2635</v>
      </c>
      <c r="E355" s="2616" t="s">
        <v>2636</v>
      </c>
      <c r="F355" s="1092" t="s">
        <v>2517</v>
      </c>
      <c r="G355" s="1304" t="str">
        <f>+G302</f>
        <v>工事1</v>
      </c>
      <c r="H355" s="1093" t="str">
        <f t="shared" ref="H355:N355" si="200">+H302</f>
        <v>工事2</v>
      </c>
      <c r="I355" s="1093" t="str">
        <f t="shared" si="200"/>
        <v>工事3</v>
      </c>
      <c r="J355" s="1093" t="str">
        <f t="shared" si="200"/>
        <v>工事4</v>
      </c>
      <c r="K355" s="1093" t="str">
        <f t="shared" si="200"/>
        <v>工事5</v>
      </c>
      <c r="L355" s="1093">
        <f t="shared" si="200"/>
        <v>0</v>
      </c>
      <c r="M355" s="1093">
        <f t="shared" si="200"/>
        <v>0</v>
      </c>
      <c r="N355" s="1094">
        <f t="shared" si="200"/>
        <v>0</v>
      </c>
    </row>
    <row r="356" spans="1:14" s="896" customFormat="1" ht="13.5" customHeight="1">
      <c r="A356" s="2618" t="s">
        <v>2637</v>
      </c>
      <c r="B356" s="2619"/>
      <c r="C356" s="2620"/>
      <c r="D356" s="2617"/>
      <c r="E356" s="2617"/>
      <c r="F356" s="1101"/>
      <c r="G356" s="1102"/>
      <c r="H356" s="1102"/>
      <c r="I356" s="1102"/>
      <c r="J356" s="1102"/>
      <c r="K356" s="1102"/>
      <c r="L356" s="1102"/>
      <c r="M356" s="1102"/>
      <c r="N356" s="1103"/>
    </row>
    <row r="357" spans="1:14" s="896" customFormat="1" ht="13.5" customHeight="1">
      <c r="A357" s="2621"/>
      <c r="B357" s="1104" t="s">
        <v>2724</v>
      </c>
      <c r="C357" s="1105"/>
      <c r="D357" s="1106"/>
      <c r="E357" s="1107"/>
      <c r="F357" s="1108">
        <f t="shared" ref="F357:F364" si="201">SUM(G357:N357)</f>
        <v>169340055</v>
      </c>
      <c r="G357" s="1109">
        <f>SUM(G333:G345)+G349</f>
        <v>33124135</v>
      </c>
      <c r="H357" s="1109">
        <f t="shared" ref="H357:N357" si="202">SUM(H333:H345)+H349</f>
        <v>21544814</v>
      </c>
      <c r="I357" s="1109">
        <f t="shared" si="202"/>
        <v>2050888</v>
      </c>
      <c r="J357" s="1109">
        <f t="shared" si="202"/>
        <v>102828658</v>
      </c>
      <c r="K357" s="1109">
        <f t="shared" si="202"/>
        <v>9791560</v>
      </c>
      <c r="L357" s="1109">
        <f t="shared" si="202"/>
        <v>0</v>
      </c>
      <c r="M357" s="1109">
        <f t="shared" si="202"/>
        <v>0</v>
      </c>
      <c r="N357" s="1109">
        <f t="shared" si="202"/>
        <v>0</v>
      </c>
    </row>
    <row r="358" spans="1:14" s="896" customFormat="1" ht="13.5" customHeight="1">
      <c r="A358" s="2622"/>
      <c r="B358" s="2607" t="s">
        <v>2541</v>
      </c>
      <c r="C358" s="1110" t="s">
        <v>2542</v>
      </c>
      <c r="D358" s="1111">
        <v>1</v>
      </c>
      <c r="E358" s="1112" t="s">
        <v>2639</v>
      </c>
      <c r="F358" s="911">
        <f t="shared" si="201"/>
        <v>0</v>
      </c>
      <c r="G358" s="912">
        <f t="shared" ref="G358:N358" si="203">IF(G304="積上げ",0,+G333)</f>
        <v>0</v>
      </c>
      <c r="H358" s="912">
        <f t="shared" si="203"/>
        <v>0</v>
      </c>
      <c r="I358" s="912">
        <f t="shared" si="203"/>
        <v>0</v>
      </c>
      <c r="J358" s="912">
        <f t="shared" si="203"/>
        <v>0</v>
      </c>
      <c r="K358" s="912">
        <f t="shared" si="203"/>
        <v>0</v>
      </c>
      <c r="L358" s="912">
        <f t="shared" si="203"/>
        <v>0</v>
      </c>
      <c r="M358" s="912">
        <f t="shared" si="203"/>
        <v>0</v>
      </c>
      <c r="N358" s="912">
        <f t="shared" si="203"/>
        <v>0</v>
      </c>
    </row>
    <row r="359" spans="1:14" s="896" customFormat="1" ht="13.5" customHeight="1">
      <c r="A359" s="2622"/>
      <c r="B359" s="2605"/>
      <c r="C359" s="1110" t="s">
        <v>2543</v>
      </c>
      <c r="D359" s="1111">
        <v>1</v>
      </c>
      <c r="E359" s="1112" t="s">
        <v>2639</v>
      </c>
      <c r="F359" s="911">
        <f t="shared" si="201"/>
        <v>164168355</v>
      </c>
      <c r="G359" s="912">
        <f t="shared" ref="G359:N359" si="204">IF(G304="積上げ",0,+G334)</f>
        <v>29776935</v>
      </c>
      <c r="H359" s="912">
        <f t="shared" si="204"/>
        <v>21544814</v>
      </c>
      <c r="I359" s="912">
        <f t="shared" si="204"/>
        <v>1712888</v>
      </c>
      <c r="J359" s="912">
        <f t="shared" si="204"/>
        <v>101741858</v>
      </c>
      <c r="K359" s="912">
        <f t="shared" si="204"/>
        <v>9391860</v>
      </c>
      <c r="L359" s="912">
        <f t="shared" si="204"/>
        <v>0</v>
      </c>
      <c r="M359" s="912">
        <f t="shared" si="204"/>
        <v>0</v>
      </c>
      <c r="N359" s="912">
        <f t="shared" si="204"/>
        <v>0</v>
      </c>
    </row>
    <row r="360" spans="1:14" s="896" customFormat="1" ht="14">
      <c r="A360" s="2622"/>
      <c r="B360" s="2605"/>
      <c r="C360" s="1110" t="s">
        <v>2640</v>
      </c>
      <c r="D360" s="1111">
        <v>0.9</v>
      </c>
      <c r="E360" s="1112" t="s">
        <v>2639</v>
      </c>
      <c r="F360" s="911">
        <f t="shared" si="201"/>
        <v>0</v>
      </c>
      <c r="G360" s="912">
        <f t="shared" ref="G360:N360" si="205">IF(G304="積上げ",0,+G335)</f>
        <v>0</v>
      </c>
      <c r="H360" s="912">
        <f t="shared" si="205"/>
        <v>0</v>
      </c>
      <c r="I360" s="912">
        <f t="shared" si="205"/>
        <v>0</v>
      </c>
      <c r="J360" s="912">
        <f t="shared" si="205"/>
        <v>0</v>
      </c>
      <c r="K360" s="912">
        <f t="shared" si="205"/>
        <v>0</v>
      </c>
      <c r="L360" s="912">
        <f t="shared" si="205"/>
        <v>0</v>
      </c>
      <c r="M360" s="912">
        <f t="shared" si="205"/>
        <v>0</v>
      </c>
      <c r="N360" s="912">
        <f t="shared" si="205"/>
        <v>0</v>
      </c>
    </row>
    <row r="361" spans="1:14" s="896" customFormat="1" ht="14">
      <c r="A361" s="2622"/>
      <c r="B361" s="2606"/>
      <c r="C361" s="1110" t="s">
        <v>2641</v>
      </c>
      <c r="D361" s="1111">
        <v>0.9</v>
      </c>
      <c r="E361" s="1112" t="s">
        <v>2639</v>
      </c>
      <c r="F361" s="911">
        <f t="shared" si="201"/>
        <v>0</v>
      </c>
      <c r="G361" s="912">
        <f t="shared" ref="G361:N361" si="206">IF(G304="積上げ",0,+G336)</f>
        <v>0</v>
      </c>
      <c r="H361" s="912">
        <f t="shared" si="206"/>
        <v>0</v>
      </c>
      <c r="I361" s="912">
        <f t="shared" si="206"/>
        <v>0</v>
      </c>
      <c r="J361" s="912">
        <f t="shared" si="206"/>
        <v>0</v>
      </c>
      <c r="K361" s="912">
        <f t="shared" si="206"/>
        <v>0</v>
      </c>
      <c r="L361" s="912">
        <f t="shared" si="206"/>
        <v>0</v>
      </c>
      <c r="M361" s="912">
        <f t="shared" si="206"/>
        <v>0</v>
      </c>
      <c r="N361" s="912">
        <f t="shared" si="206"/>
        <v>0</v>
      </c>
    </row>
    <row r="362" spans="1:14" s="896" customFormat="1" ht="14">
      <c r="A362" s="2622"/>
      <c r="B362" s="2607" t="s">
        <v>2546</v>
      </c>
      <c r="C362" s="1110" t="s">
        <v>2642</v>
      </c>
      <c r="D362" s="1111">
        <v>1</v>
      </c>
      <c r="E362" s="1113">
        <v>0.01</v>
      </c>
      <c r="F362" s="911">
        <f t="shared" si="201"/>
        <v>0</v>
      </c>
      <c r="G362" s="912">
        <f t="shared" ref="G362:N362" si="207">IF(G304="積上げ",0,+G337)</f>
        <v>0</v>
      </c>
      <c r="H362" s="912">
        <f t="shared" si="207"/>
        <v>0</v>
      </c>
      <c r="I362" s="912">
        <f t="shared" si="207"/>
        <v>0</v>
      </c>
      <c r="J362" s="912">
        <f t="shared" si="207"/>
        <v>0</v>
      </c>
      <c r="K362" s="912">
        <f t="shared" si="207"/>
        <v>0</v>
      </c>
      <c r="L362" s="912">
        <f t="shared" si="207"/>
        <v>0</v>
      </c>
      <c r="M362" s="912">
        <f t="shared" si="207"/>
        <v>0</v>
      </c>
      <c r="N362" s="912">
        <f t="shared" si="207"/>
        <v>0</v>
      </c>
    </row>
    <row r="363" spans="1:14" s="896" customFormat="1" ht="14">
      <c r="A363" s="2622"/>
      <c r="B363" s="2605"/>
      <c r="C363" s="1110" t="s">
        <v>2643</v>
      </c>
      <c r="D363" s="1111">
        <v>1</v>
      </c>
      <c r="E363" s="1113">
        <v>0.01</v>
      </c>
      <c r="F363" s="911">
        <f t="shared" si="201"/>
        <v>0</v>
      </c>
      <c r="G363" s="912">
        <f t="shared" ref="G363:N363" si="208">IF(G304="積上げ",0,G338)</f>
        <v>0</v>
      </c>
      <c r="H363" s="912">
        <f t="shared" si="208"/>
        <v>0</v>
      </c>
      <c r="I363" s="912">
        <f t="shared" si="208"/>
        <v>0</v>
      </c>
      <c r="J363" s="912">
        <f t="shared" si="208"/>
        <v>0</v>
      </c>
      <c r="K363" s="912">
        <f t="shared" si="208"/>
        <v>0</v>
      </c>
      <c r="L363" s="912">
        <f t="shared" si="208"/>
        <v>0</v>
      </c>
      <c r="M363" s="912">
        <f t="shared" si="208"/>
        <v>0</v>
      </c>
      <c r="N363" s="912">
        <f t="shared" si="208"/>
        <v>0</v>
      </c>
    </row>
    <row r="364" spans="1:14" s="896" customFormat="1" ht="14">
      <c r="A364" s="2622"/>
      <c r="B364" s="2605"/>
      <c r="C364" s="1110" t="s">
        <v>2549</v>
      </c>
      <c r="D364" s="1111">
        <v>1</v>
      </c>
      <c r="E364" s="1113">
        <v>0.01</v>
      </c>
      <c r="F364" s="911">
        <f t="shared" si="201"/>
        <v>5171700</v>
      </c>
      <c r="G364" s="912">
        <f t="shared" ref="G364:N364" si="209">IF(G304="積上げ",0,G339)</f>
        <v>3347200</v>
      </c>
      <c r="H364" s="912">
        <f t="shared" si="209"/>
        <v>0</v>
      </c>
      <c r="I364" s="912">
        <f t="shared" si="209"/>
        <v>338000</v>
      </c>
      <c r="J364" s="912">
        <f t="shared" si="209"/>
        <v>1086800</v>
      </c>
      <c r="K364" s="912">
        <f t="shared" si="209"/>
        <v>399700</v>
      </c>
      <c r="L364" s="912">
        <f t="shared" si="209"/>
        <v>0</v>
      </c>
      <c r="M364" s="912">
        <f t="shared" si="209"/>
        <v>0</v>
      </c>
      <c r="N364" s="912">
        <f t="shared" si="209"/>
        <v>0</v>
      </c>
    </row>
    <row r="365" spans="1:14" s="896" customFormat="1" ht="14">
      <c r="A365" s="2622"/>
      <c r="B365" s="2605"/>
      <c r="C365" s="1110" t="s">
        <v>2629</v>
      </c>
      <c r="D365" s="1111"/>
      <c r="E365" s="1113"/>
      <c r="F365" s="911"/>
      <c r="G365" s="912"/>
      <c r="H365" s="912"/>
      <c r="I365" s="912"/>
      <c r="J365" s="912"/>
      <c r="K365" s="912"/>
      <c r="L365" s="912"/>
      <c r="M365" s="912"/>
      <c r="N365" s="912"/>
    </row>
    <row r="366" spans="1:14" s="896" customFormat="1" ht="14">
      <c r="A366" s="2622"/>
      <c r="B366" s="2605"/>
      <c r="C366" s="1110" t="s">
        <v>2551</v>
      </c>
      <c r="D366" s="1111"/>
      <c r="E366" s="1113"/>
      <c r="F366" s="911"/>
      <c r="G366" s="912"/>
      <c r="H366" s="912"/>
      <c r="I366" s="912"/>
      <c r="J366" s="912"/>
      <c r="K366" s="912"/>
      <c r="L366" s="912"/>
      <c r="M366" s="912"/>
      <c r="N366" s="912"/>
    </row>
    <row r="367" spans="1:14" s="896" customFormat="1" ht="14">
      <c r="A367" s="2622"/>
      <c r="B367" s="2605"/>
      <c r="C367" s="1110" t="s">
        <v>2552</v>
      </c>
      <c r="D367" s="1111">
        <v>1</v>
      </c>
      <c r="E367" s="1113">
        <v>0.01</v>
      </c>
      <c r="F367" s="911">
        <f>SUM(G367:N367)</f>
        <v>0</v>
      </c>
      <c r="G367" s="912">
        <f t="shared" ref="G367:N367" si="210">IF(G304="積上げ",0,+G342)</f>
        <v>0</v>
      </c>
      <c r="H367" s="912">
        <f t="shared" si="210"/>
        <v>0</v>
      </c>
      <c r="I367" s="912">
        <f t="shared" si="210"/>
        <v>0</v>
      </c>
      <c r="J367" s="912">
        <f t="shared" si="210"/>
        <v>0</v>
      </c>
      <c r="K367" s="912">
        <f t="shared" si="210"/>
        <v>0</v>
      </c>
      <c r="L367" s="912">
        <f t="shared" si="210"/>
        <v>0</v>
      </c>
      <c r="M367" s="912">
        <f t="shared" si="210"/>
        <v>0</v>
      </c>
      <c r="N367" s="912">
        <f t="shared" si="210"/>
        <v>0</v>
      </c>
    </row>
    <row r="368" spans="1:14" s="896" customFormat="1" ht="14">
      <c r="A368" s="2622"/>
      <c r="B368" s="2605"/>
      <c r="C368" s="1114" t="s">
        <v>2553</v>
      </c>
      <c r="D368" s="1111">
        <v>1</v>
      </c>
      <c r="E368" s="1113">
        <v>0.01</v>
      </c>
      <c r="F368" s="911">
        <f>SUM(G368:N368)</f>
        <v>0</v>
      </c>
      <c r="G368" s="912">
        <f t="shared" ref="G368:N368" si="211">IF(G304="積上げ",0,+G343)</f>
        <v>0</v>
      </c>
      <c r="H368" s="912">
        <f t="shared" si="211"/>
        <v>0</v>
      </c>
      <c r="I368" s="912">
        <f t="shared" si="211"/>
        <v>0</v>
      </c>
      <c r="J368" s="912">
        <f t="shared" si="211"/>
        <v>0</v>
      </c>
      <c r="K368" s="912">
        <f t="shared" si="211"/>
        <v>0</v>
      </c>
      <c r="L368" s="912">
        <f t="shared" si="211"/>
        <v>0</v>
      </c>
      <c r="M368" s="912">
        <f t="shared" si="211"/>
        <v>0</v>
      </c>
      <c r="N368" s="912">
        <f t="shared" si="211"/>
        <v>0</v>
      </c>
    </row>
    <row r="369" spans="1:14" s="896" customFormat="1" ht="14">
      <c r="A369" s="2622"/>
      <c r="B369" s="2605"/>
      <c r="C369" s="1114" t="s">
        <v>2631</v>
      </c>
      <c r="D369" s="1111">
        <v>1</v>
      </c>
      <c r="E369" s="1113">
        <v>0.01</v>
      </c>
      <c r="F369" s="911">
        <f>SUM(G369:N369)</f>
        <v>0</v>
      </c>
      <c r="G369" s="912">
        <f t="shared" ref="G369:N369" si="212">IF(G304="積上げ",0,+G344)</f>
        <v>0</v>
      </c>
      <c r="H369" s="912">
        <f t="shared" si="212"/>
        <v>0</v>
      </c>
      <c r="I369" s="912">
        <f t="shared" si="212"/>
        <v>0</v>
      </c>
      <c r="J369" s="912">
        <f t="shared" si="212"/>
        <v>0</v>
      </c>
      <c r="K369" s="912">
        <f t="shared" si="212"/>
        <v>0</v>
      </c>
      <c r="L369" s="912">
        <f t="shared" si="212"/>
        <v>0</v>
      </c>
      <c r="M369" s="912">
        <f t="shared" si="212"/>
        <v>0</v>
      </c>
      <c r="N369" s="912">
        <f t="shared" si="212"/>
        <v>0</v>
      </c>
    </row>
    <row r="370" spans="1:14" s="896" customFormat="1" ht="14">
      <c r="A370" s="2622"/>
      <c r="B370" s="2606"/>
      <c r="C370" s="1110" t="s">
        <v>2555</v>
      </c>
      <c r="D370" s="1111">
        <v>1</v>
      </c>
      <c r="E370" s="1113">
        <v>0.01</v>
      </c>
      <c r="F370" s="911">
        <f>SUM(G370:N370)</f>
        <v>0</v>
      </c>
      <c r="G370" s="912">
        <f t="shared" ref="G370:N370" si="213">IF(G304="積上げ",0,+G345)</f>
        <v>0</v>
      </c>
      <c r="H370" s="912">
        <f t="shared" si="213"/>
        <v>0</v>
      </c>
      <c r="I370" s="912">
        <f t="shared" si="213"/>
        <v>0</v>
      </c>
      <c r="J370" s="912">
        <f t="shared" si="213"/>
        <v>0</v>
      </c>
      <c r="K370" s="912">
        <f t="shared" si="213"/>
        <v>0</v>
      </c>
      <c r="L370" s="912">
        <f t="shared" si="213"/>
        <v>0</v>
      </c>
      <c r="M370" s="912">
        <f t="shared" si="213"/>
        <v>0</v>
      </c>
      <c r="N370" s="912">
        <f t="shared" si="213"/>
        <v>0</v>
      </c>
    </row>
    <row r="371" spans="1:14" s="896" customFormat="1" ht="14">
      <c r="A371" s="2623"/>
      <c r="B371" s="1115" t="s">
        <v>2644</v>
      </c>
      <c r="C371" s="1141" t="s">
        <v>2725</v>
      </c>
      <c r="D371" s="1117">
        <v>1</v>
      </c>
      <c r="E371" s="1118">
        <v>0</v>
      </c>
      <c r="F371" s="946">
        <f>SUM(G371:N371)</f>
        <v>471415</v>
      </c>
      <c r="G371" s="1073">
        <f>IF(G304="積上げ",0,SUM(G349:G352)+G346)</f>
        <v>75152</v>
      </c>
      <c r="H371" s="1073">
        <f t="shared" ref="H371:N371" si="214">IF(H304="積上げ",0,SUM(H349:H352)+H346)</f>
        <v>10832</v>
      </c>
      <c r="I371" s="1073">
        <f t="shared" si="214"/>
        <v>1593</v>
      </c>
      <c r="J371" s="1073">
        <f t="shared" si="214"/>
        <v>383838</v>
      </c>
      <c r="K371" s="1073">
        <f t="shared" si="214"/>
        <v>0</v>
      </c>
      <c r="L371" s="1073">
        <f t="shared" si="214"/>
        <v>0</v>
      </c>
      <c r="M371" s="1073">
        <f t="shared" si="214"/>
        <v>0</v>
      </c>
      <c r="N371" s="1073">
        <f t="shared" si="214"/>
        <v>0</v>
      </c>
    </row>
    <row r="372" spans="1:14" s="896" customFormat="1" ht="14">
      <c r="A372" s="1119"/>
      <c r="B372" s="1120"/>
      <c r="C372" s="1121"/>
      <c r="D372" s="2624"/>
      <c r="E372" s="2624"/>
      <c r="F372" s="1108"/>
      <c r="G372" s="1109"/>
      <c r="H372" s="1109"/>
      <c r="I372" s="1109"/>
      <c r="J372" s="1109"/>
      <c r="K372" s="1109"/>
      <c r="L372" s="1109"/>
      <c r="M372" s="1109"/>
      <c r="N372" s="1122"/>
    </row>
    <row r="373" spans="1:14" s="896" customFormat="1" ht="14">
      <c r="A373" s="2618" t="s">
        <v>2646</v>
      </c>
      <c r="B373" s="2619"/>
      <c r="C373" s="2620"/>
      <c r="D373" s="2625"/>
      <c r="E373" s="2625"/>
      <c r="F373" s="1101"/>
      <c r="G373" s="1102"/>
      <c r="H373" s="1102"/>
      <c r="I373" s="1102"/>
      <c r="J373" s="1102"/>
      <c r="K373" s="1102"/>
      <c r="L373" s="1102"/>
      <c r="M373" s="1102"/>
      <c r="N373" s="1103"/>
    </row>
    <row r="374" spans="1:14" s="896" customFormat="1" ht="14">
      <c r="A374" s="2621"/>
      <c r="B374" s="2604" t="s">
        <v>2541</v>
      </c>
      <c r="C374" s="1123" t="s">
        <v>2542</v>
      </c>
      <c r="D374" s="1124"/>
      <c r="E374" s="1125" t="s">
        <v>2639</v>
      </c>
      <c r="F374" s="1126" t="s">
        <v>2647</v>
      </c>
      <c r="G374" s="1127">
        <f t="shared" ref="G374:N374" si="215">IF(G358=0,0,IF(G306="有り",+G479/100,G480/100))</f>
        <v>0</v>
      </c>
      <c r="H374" s="1127">
        <f t="shared" si="215"/>
        <v>0</v>
      </c>
      <c r="I374" s="1127">
        <f t="shared" si="215"/>
        <v>0</v>
      </c>
      <c r="J374" s="1127">
        <f t="shared" si="215"/>
        <v>0</v>
      </c>
      <c r="K374" s="1127">
        <f t="shared" si="215"/>
        <v>0</v>
      </c>
      <c r="L374" s="1127">
        <f t="shared" si="215"/>
        <v>0</v>
      </c>
      <c r="M374" s="1127">
        <f t="shared" si="215"/>
        <v>0</v>
      </c>
      <c r="N374" s="1128">
        <f t="shared" si="215"/>
        <v>0</v>
      </c>
    </row>
    <row r="375" spans="1:14" s="896" customFormat="1" ht="14">
      <c r="A375" s="2622"/>
      <c r="B375" s="2605"/>
      <c r="C375" s="1129"/>
      <c r="D375" s="1130">
        <f>+D358</f>
        <v>1</v>
      </c>
      <c r="E375" s="1131" t="s">
        <v>2639</v>
      </c>
      <c r="F375" s="1064">
        <f>SUM(G375:N375)</f>
        <v>0</v>
      </c>
      <c r="G375" s="1080">
        <f t="shared" ref="G375:N375" si="216">ROUNDDOWN(G358*G374*$D375,0)</f>
        <v>0</v>
      </c>
      <c r="H375" s="1080">
        <f t="shared" si="216"/>
        <v>0</v>
      </c>
      <c r="I375" s="1080">
        <f t="shared" si="216"/>
        <v>0</v>
      </c>
      <c r="J375" s="1080">
        <f t="shared" si="216"/>
        <v>0</v>
      </c>
      <c r="K375" s="1080">
        <f t="shared" si="216"/>
        <v>0</v>
      </c>
      <c r="L375" s="1080">
        <f t="shared" si="216"/>
        <v>0</v>
      </c>
      <c r="M375" s="1080">
        <f t="shared" si="216"/>
        <v>0</v>
      </c>
      <c r="N375" s="1081">
        <f t="shared" si="216"/>
        <v>0</v>
      </c>
    </row>
    <row r="376" spans="1:14" s="896" customFormat="1" ht="14">
      <c r="A376" s="2622"/>
      <c r="B376" s="2605"/>
      <c r="C376" s="1132" t="s">
        <v>2543</v>
      </c>
      <c r="D376" s="1133"/>
      <c r="E376" s="1131" t="s">
        <v>2639</v>
      </c>
      <c r="F376" s="1134" t="s">
        <v>2647</v>
      </c>
      <c r="G376" s="1135">
        <f t="shared" ref="G376:N376" si="217">IF(G359=0,0,IF(G306="有り",G488/100,+G489/100))</f>
        <v>3.2300000000000002E-2</v>
      </c>
      <c r="H376" s="1135">
        <f t="shared" si="217"/>
        <v>2.8799999999999999E-2</v>
      </c>
      <c r="I376" s="1135">
        <f t="shared" si="217"/>
        <v>3.2300000000000002E-2</v>
      </c>
      <c r="J376" s="1135">
        <f t="shared" si="217"/>
        <v>3.2300000000000002E-2</v>
      </c>
      <c r="K376" s="1135">
        <f t="shared" si="217"/>
        <v>3.2300000000000002E-2</v>
      </c>
      <c r="L376" s="1135">
        <f t="shared" si="217"/>
        <v>0</v>
      </c>
      <c r="M376" s="1135">
        <f t="shared" si="217"/>
        <v>0</v>
      </c>
      <c r="N376" s="1136">
        <f t="shared" si="217"/>
        <v>0</v>
      </c>
    </row>
    <row r="377" spans="1:14" s="896" customFormat="1" ht="14">
      <c r="A377" s="2622"/>
      <c r="B377" s="2605"/>
      <c r="C377" s="1129"/>
      <c r="D377" s="1137">
        <f t="shared" ref="D377:D382" si="218">+D359</f>
        <v>1</v>
      </c>
      <c r="E377" s="1131" t="s">
        <v>2639</v>
      </c>
      <c r="F377" s="1064">
        <f>SUM(G377:N377)</f>
        <v>5227230</v>
      </c>
      <c r="G377" s="1080">
        <f t="shared" ref="G377:N377" si="219">ROUNDDOWN(G359*G376*$D377,0)</f>
        <v>961795</v>
      </c>
      <c r="H377" s="1080">
        <f t="shared" si="219"/>
        <v>620490</v>
      </c>
      <c r="I377" s="1080">
        <f t="shared" si="219"/>
        <v>55326</v>
      </c>
      <c r="J377" s="1080">
        <f t="shared" si="219"/>
        <v>3286262</v>
      </c>
      <c r="K377" s="1080">
        <f t="shared" si="219"/>
        <v>303357</v>
      </c>
      <c r="L377" s="1080">
        <f t="shared" si="219"/>
        <v>0</v>
      </c>
      <c r="M377" s="1080">
        <f t="shared" si="219"/>
        <v>0</v>
      </c>
      <c r="N377" s="1081">
        <f t="shared" si="219"/>
        <v>0</v>
      </c>
    </row>
    <row r="378" spans="1:14" s="896" customFormat="1" ht="14">
      <c r="A378" s="2622"/>
      <c r="B378" s="2605"/>
      <c r="C378" s="1110" t="s">
        <v>2565</v>
      </c>
      <c r="D378" s="1138">
        <v>0.9</v>
      </c>
      <c r="E378" s="1131" t="s">
        <v>2639</v>
      </c>
      <c r="F378" s="1064">
        <f>SUM(G378:N378)</f>
        <v>0</v>
      </c>
      <c r="G378" s="1080">
        <f t="shared" ref="G378:N378" si="220">ROUNDDOWN(G360*G374*$D378,0)</f>
        <v>0</v>
      </c>
      <c r="H378" s="1080">
        <f t="shared" si="220"/>
        <v>0</v>
      </c>
      <c r="I378" s="1080">
        <f t="shared" si="220"/>
        <v>0</v>
      </c>
      <c r="J378" s="1080">
        <f t="shared" si="220"/>
        <v>0</v>
      </c>
      <c r="K378" s="1080">
        <f t="shared" si="220"/>
        <v>0</v>
      </c>
      <c r="L378" s="1080">
        <f t="shared" si="220"/>
        <v>0</v>
      </c>
      <c r="M378" s="1080">
        <f t="shared" si="220"/>
        <v>0</v>
      </c>
      <c r="N378" s="1081">
        <f t="shared" si="220"/>
        <v>0</v>
      </c>
    </row>
    <row r="379" spans="1:14" s="896" customFormat="1" ht="14">
      <c r="A379" s="2622"/>
      <c r="B379" s="2606"/>
      <c r="C379" s="1110" t="s">
        <v>2566</v>
      </c>
      <c r="D379" s="1138">
        <v>0.9</v>
      </c>
      <c r="E379" s="1131" t="s">
        <v>2639</v>
      </c>
      <c r="F379" s="1064">
        <f>SUM(G379:N379)</f>
        <v>0</v>
      </c>
      <c r="G379" s="1080">
        <f t="shared" ref="G379:N379" si="221">ROUNDDOWN(G361*G376*$D379,0)</f>
        <v>0</v>
      </c>
      <c r="H379" s="1080">
        <f t="shared" si="221"/>
        <v>0</v>
      </c>
      <c r="I379" s="1080">
        <f t="shared" si="221"/>
        <v>0</v>
      </c>
      <c r="J379" s="1080">
        <f t="shared" si="221"/>
        <v>0</v>
      </c>
      <c r="K379" s="1080">
        <f t="shared" si="221"/>
        <v>0</v>
      </c>
      <c r="L379" s="1080">
        <f t="shared" si="221"/>
        <v>0</v>
      </c>
      <c r="M379" s="1080">
        <f t="shared" si="221"/>
        <v>0</v>
      </c>
      <c r="N379" s="1081">
        <f t="shared" si="221"/>
        <v>0</v>
      </c>
    </row>
    <row r="380" spans="1:14" s="896" customFormat="1" ht="14">
      <c r="A380" s="2622"/>
      <c r="B380" s="2607" t="s">
        <v>2546</v>
      </c>
      <c r="C380" s="1110" t="s">
        <v>2642</v>
      </c>
      <c r="D380" s="1138">
        <f>+D362</f>
        <v>1</v>
      </c>
      <c r="E380" s="1113">
        <f>+E362</f>
        <v>0.01</v>
      </c>
      <c r="F380" s="911">
        <v>0</v>
      </c>
      <c r="G380" s="1080">
        <f t="shared" ref="G380:N389" si="222">ROUNDDOWN(G362*$E380*$D380,0)</f>
        <v>0</v>
      </c>
      <c r="H380" s="1080">
        <f t="shared" si="222"/>
        <v>0</v>
      </c>
      <c r="I380" s="1080">
        <f t="shared" si="222"/>
        <v>0</v>
      </c>
      <c r="J380" s="1080">
        <f t="shared" si="222"/>
        <v>0</v>
      </c>
      <c r="K380" s="1080">
        <f t="shared" si="222"/>
        <v>0</v>
      </c>
      <c r="L380" s="1080">
        <f t="shared" si="222"/>
        <v>0</v>
      </c>
      <c r="M380" s="1080">
        <f t="shared" si="222"/>
        <v>0</v>
      </c>
      <c r="N380" s="1080">
        <f t="shared" si="222"/>
        <v>0</v>
      </c>
    </row>
    <row r="381" spans="1:14" s="896" customFormat="1" ht="14">
      <c r="A381" s="2622"/>
      <c r="B381" s="2605"/>
      <c r="C381" s="1110" t="s">
        <v>2648</v>
      </c>
      <c r="D381" s="1138">
        <f t="shared" si="218"/>
        <v>1</v>
      </c>
      <c r="E381" s="1113">
        <f>+E363</f>
        <v>0.01</v>
      </c>
      <c r="F381" s="911">
        <v>0</v>
      </c>
      <c r="G381" s="1080">
        <f t="shared" si="222"/>
        <v>0</v>
      </c>
      <c r="H381" s="1080">
        <f t="shared" si="222"/>
        <v>0</v>
      </c>
      <c r="I381" s="1080">
        <f t="shared" si="222"/>
        <v>0</v>
      </c>
      <c r="J381" s="1080">
        <f t="shared" si="222"/>
        <v>0</v>
      </c>
      <c r="K381" s="1080">
        <f t="shared" si="222"/>
        <v>0</v>
      </c>
      <c r="L381" s="1080">
        <f t="shared" si="222"/>
        <v>0</v>
      </c>
      <c r="M381" s="1080">
        <f t="shared" si="222"/>
        <v>0</v>
      </c>
      <c r="N381" s="1080">
        <f t="shared" si="222"/>
        <v>0</v>
      </c>
    </row>
    <row r="382" spans="1:14" s="896" customFormat="1" ht="14">
      <c r="A382" s="2622"/>
      <c r="B382" s="2605"/>
      <c r="C382" s="1110" t="s">
        <v>2549</v>
      </c>
      <c r="D382" s="1138">
        <f t="shared" si="218"/>
        <v>1</v>
      </c>
      <c r="E382" s="1113">
        <f>+E364</f>
        <v>0.01</v>
      </c>
      <c r="F382" s="911">
        <v>0</v>
      </c>
      <c r="G382" s="1080">
        <f t="shared" si="222"/>
        <v>33472</v>
      </c>
      <c r="H382" s="1080">
        <f t="shared" si="222"/>
        <v>0</v>
      </c>
      <c r="I382" s="1080">
        <f t="shared" si="222"/>
        <v>3380</v>
      </c>
      <c r="J382" s="1080">
        <f t="shared" si="222"/>
        <v>10868</v>
      </c>
      <c r="K382" s="1080">
        <f t="shared" si="222"/>
        <v>3997</v>
      </c>
      <c r="L382" s="1080">
        <f t="shared" si="222"/>
        <v>0</v>
      </c>
      <c r="M382" s="1080">
        <f t="shared" si="222"/>
        <v>0</v>
      </c>
      <c r="N382" s="1080">
        <f t="shared" si="222"/>
        <v>0</v>
      </c>
    </row>
    <row r="383" spans="1:14" s="896" customFormat="1" ht="14">
      <c r="A383" s="2622"/>
      <c r="B383" s="2605"/>
      <c r="C383" s="1110" t="s">
        <v>2649</v>
      </c>
      <c r="D383" s="1138"/>
      <c r="E383" s="1113"/>
      <c r="F383" s="911"/>
      <c r="G383" s="1080"/>
      <c r="H383" s="1080"/>
      <c r="I383" s="1080"/>
      <c r="J383" s="1080"/>
      <c r="K383" s="1080"/>
      <c r="L383" s="1080"/>
      <c r="M383" s="1080"/>
      <c r="N383" s="1080"/>
    </row>
    <row r="384" spans="1:14" s="896" customFormat="1" ht="14">
      <c r="A384" s="2622"/>
      <c r="B384" s="2605"/>
      <c r="C384" s="1139" t="s">
        <v>2551</v>
      </c>
      <c r="D384" s="1138"/>
      <c r="E384" s="1113"/>
      <c r="F384" s="911"/>
      <c r="G384" s="1080"/>
      <c r="H384" s="1080"/>
      <c r="I384" s="1080"/>
      <c r="J384" s="1080"/>
      <c r="K384" s="1080"/>
      <c r="L384" s="1080"/>
      <c r="M384" s="1080"/>
      <c r="N384" s="1080"/>
    </row>
    <row r="385" spans="1:14" s="896" customFormat="1" ht="14">
      <c r="A385" s="2622"/>
      <c r="B385" s="2605"/>
      <c r="C385" s="1110" t="s">
        <v>2552</v>
      </c>
      <c r="D385" s="1138">
        <f t="shared" ref="D385:E389" si="223">+D367</f>
        <v>1</v>
      </c>
      <c r="E385" s="1113">
        <f t="shared" si="223"/>
        <v>0.01</v>
      </c>
      <c r="F385" s="911">
        <v>0</v>
      </c>
      <c r="G385" s="1080">
        <f t="shared" si="222"/>
        <v>0</v>
      </c>
      <c r="H385" s="1080">
        <f t="shared" si="222"/>
        <v>0</v>
      </c>
      <c r="I385" s="1080">
        <f t="shared" si="222"/>
        <v>0</v>
      </c>
      <c r="J385" s="1080">
        <f t="shared" si="222"/>
        <v>0</v>
      </c>
      <c r="K385" s="1080">
        <f t="shared" si="222"/>
        <v>0</v>
      </c>
      <c r="L385" s="1080">
        <f t="shared" si="222"/>
        <v>0</v>
      </c>
      <c r="M385" s="1080">
        <f t="shared" si="222"/>
        <v>0</v>
      </c>
      <c r="N385" s="1080">
        <f t="shared" si="222"/>
        <v>0</v>
      </c>
    </row>
    <row r="386" spans="1:14" s="896" customFormat="1" ht="14">
      <c r="A386" s="2622"/>
      <c r="B386" s="2605"/>
      <c r="C386" s="1114" t="s">
        <v>2650</v>
      </c>
      <c r="D386" s="1138">
        <f t="shared" si="223"/>
        <v>1</v>
      </c>
      <c r="E386" s="1113">
        <f t="shared" si="223"/>
        <v>0.01</v>
      </c>
      <c r="F386" s="911">
        <v>0</v>
      </c>
      <c r="G386" s="1080">
        <f t="shared" si="222"/>
        <v>0</v>
      </c>
      <c r="H386" s="1080">
        <f t="shared" si="222"/>
        <v>0</v>
      </c>
      <c r="I386" s="1080">
        <f t="shared" si="222"/>
        <v>0</v>
      </c>
      <c r="J386" s="1080">
        <f t="shared" si="222"/>
        <v>0</v>
      </c>
      <c r="K386" s="1080">
        <f t="shared" si="222"/>
        <v>0</v>
      </c>
      <c r="L386" s="1080">
        <f t="shared" si="222"/>
        <v>0</v>
      </c>
      <c r="M386" s="1080">
        <f t="shared" si="222"/>
        <v>0</v>
      </c>
      <c r="N386" s="1080">
        <f t="shared" si="222"/>
        <v>0</v>
      </c>
    </row>
    <row r="387" spans="1:14" s="896" customFormat="1" ht="14">
      <c r="A387" s="2622"/>
      <c r="B387" s="2605"/>
      <c r="C387" s="1114" t="s">
        <v>2651</v>
      </c>
      <c r="D387" s="1138">
        <f t="shared" si="223"/>
        <v>1</v>
      </c>
      <c r="E387" s="1113">
        <f t="shared" si="223"/>
        <v>0.01</v>
      </c>
      <c r="F387" s="911">
        <v>0</v>
      </c>
      <c r="G387" s="1080">
        <f t="shared" si="222"/>
        <v>0</v>
      </c>
      <c r="H387" s="1080">
        <f t="shared" si="222"/>
        <v>0</v>
      </c>
      <c r="I387" s="1080">
        <f t="shared" si="222"/>
        <v>0</v>
      </c>
      <c r="J387" s="1080">
        <f t="shared" si="222"/>
        <v>0</v>
      </c>
      <c r="K387" s="1080">
        <f t="shared" si="222"/>
        <v>0</v>
      </c>
      <c r="L387" s="1080">
        <f t="shared" si="222"/>
        <v>0</v>
      </c>
      <c r="M387" s="1080">
        <f t="shared" si="222"/>
        <v>0</v>
      </c>
      <c r="N387" s="1080">
        <f t="shared" si="222"/>
        <v>0</v>
      </c>
    </row>
    <row r="388" spans="1:14" s="896" customFormat="1" ht="14">
      <c r="A388" s="2622"/>
      <c r="B388" s="2606"/>
      <c r="C388" s="1110" t="s">
        <v>2555</v>
      </c>
      <c r="D388" s="1138">
        <f t="shared" si="223"/>
        <v>1</v>
      </c>
      <c r="E388" s="1113">
        <f t="shared" si="223"/>
        <v>0.01</v>
      </c>
      <c r="F388" s="911">
        <v>0</v>
      </c>
      <c r="G388" s="1080">
        <f t="shared" si="222"/>
        <v>0</v>
      </c>
      <c r="H388" s="1080">
        <f t="shared" si="222"/>
        <v>0</v>
      </c>
      <c r="I388" s="1080">
        <f t="shared" si="222"/>
        <v>0</v>
      </c>
      <c r="J388" s="1080">
        <f t="shared" si="222"/>
        <v>0</v>
      </c>
      <c r="K388" s="1080">
        <f t="shared" si="222"/>
        <v>0</v>
      </c>
      <c r="L388" s="1080">
        <f t="shared" si="222"/>
        <v>0</v>
      </c>
      <c r="M388" s="1080">
        <f t="shared" si="222"/>
        <v>0</v>
      </c>
      <c r="N388" s="1080">
        <f t="shared" si="222"/>
        <v>0</v>
      </c>
    </row>
    <row r="389" spans="1:14" s="896" customFormat="1" ht="15" thickBot="1">
      <c r="A389" s="2626"/>
      <c r="B389" s="1140" t="s">
        <v>2644</v>
      </c>
      <c r="C389" s="1141" t="s">
        <v>2652</v>
      </c>
      <c r="D389" s="1142">
        <f t="shared" si="223"/>
        <v>1</v>
      </c>
      <c r="E389" s="1143">
        <f t="shared" si="223"/>
        <v>0</v>
      </c>
      <c r="F389" s="1144">
        <f>ROUNDDOWN(D389*E389*F371,0)</f>
        <v>0</v>
      </c>
      <c r="G389" s="1080">
        <f>ROUNDDOWN(G371*$E389*$D389,0)</f>
        <v>0</v>
      </c>
      <c r="H389" s="1080">
        <f>ROUNDDOWN(H371*$E389*$D389,0)</f>
        <v>0</v>
      </c>
      <c r="I389" s="1080">
        <f>ROUNDDOWN(I371*$E389*$D389,0)</f>
        <v>0</v>
      </c>
      <c r="J389" s="1080">
        <f>ROUNDDOWN(J371*$E389*$D389,0)</f>
        <v>0</v>
      </c>
      <c r="K389" s="1080">
        <f t="shared" si="222"/>
        <v>0</v>
      </c>
      <c r="L389" s="1080">
        <f t="shared" si="222"/>
        <v>0</v>
      </c>
      <c r="M389" s="1080">
        <f t="shared" si="222"/>
        <v>0</v>
      </c>
      <c r="N389" s="1080">
        <f t="shared" si="222"/>
        <v>0</v>
      </c>
    </row>
    <row r="390" spans="1:14" s="896" customFormat="1" ht="15" thickTop="1">
      <c r="A390" s="1145"/>
      <c r="B390" s="1146"/>
      <c r="C390" s="1147" t="s">
        <v>2653</v>
      </c>
      <c r="D390" s="1148"/>
      <c r="E390" s="1149"/>
      <c r="F390" s="1150">
        <f>SUM(G390:N390)</f>
        <v>5278947</v>
      </c>
      <c r="G390" s="1151">
        <f>SUM(G377:G389)+G375</f>
        <v>995267</v>
      </c>
      <c r="H390" s="1151">
        <f t="shared" ref="H390:N390" si="224">SUM(H377:H389)+H375</f>
        <v>620490</v>
      </c>
      <c r="I390" s="1151">
        <f t="shared" si="224"/>
        <v>58706</v>
      </c>
      <c r="J390" s="1151">
        <f t="shared" si="224"/>
        <v>3297130</v>
      </c>
      <c r="K390" s="1151">
        <f t="shared" si="224"/>
        <v>307354</v>
      </c>
      <c r="L390" s="1151">
        <f t="shared" si="224"/>
        <v>0</v>
      </c>
      <c r="M390" s="1151">
        <f t="shared" si="224"/>
        <v>0</v>
      </c>
      <c r="N390" s="1152">
        <f t="shared" si="224"/>
        <v>0</v>
      </c>
    </row>
    <row r="391" spans="1:14" s="896" customFormat="1" ht="14">
      <c r="A391" s="1295"/>
      <c r="B391" s="1295"/>
      <c r="C391" s="924"/>
      <c r="D391" s="924"/>
      <c r="E391" s="1295"/>
      <c r="F391" s="1153"/>
      <c r="G391" s="915"/>
      <c r="H391" s="915"/>
      <c r="I391" s="915"/>
      <c r="J391" s="915"/>
      <c r="K391" s="915"/>
      <c r="L391" s="915"/>
      <c r="M391" s="915"/>
      <c r="N391" s="915"/>
    </row>
    <row r="392" spans="1:14" s="896" customFormat="1" ht="14">
      <c r="A392" s="1295"/>
      <c r="B392" s="1295"/>
      <c r="C392" s="1099" t="s">
        <v>2726</v>
      </c>
      <c r="D392" s="1099"/>
      <c r="E392" s="923"/>
      <c r="F392" s="1042"/>
      <c r="G392" s="1046"/>
      <c r="H392" s="1046"/>
      <c r="I392" s="1046"/>
      <c r="J392" s="1046"/>
      <c r="K392" s="1046"/>
      <c r="L392" s="1046"/>
      <c r="M392" s="1046"/>
      <c r="N392" s="1100" t="s">
        <v>2727</v>
      </c>
    </row>
    <row r="393" spans="1:14" s="896" customFormat="1" ht="14">
      <c r="A393" s="1295"/>
      <c r="B393" s="1295"/>
      <c r="C393" s="930" t="s">
        <v>2656</v>
      </c>
      <c r="D393" s="930"/>
      <c r="E393" s="923"/>
      <c r="F393" s="1042"/>
      <c r="G393" s="1046"/>
      <c r="H393" s="1046"/>
      <c r="I393" s="1046"/>
      <c r="J393" s="1046"/>
      <c r="K393" s="1046"/>
      <c r="L393" s="1046"/>
      <c r="M393" s="1046"/>
      <c r="N393" s="1100"/>
    </row>
    <row r="394" spans="1:14" s="896" customFormat="1" ht="14">
      <c r="A394" s="877"/>
      <c r="B394" s="878"/>
      <c r="C394" s="878"/>
      <c r="D394" s="2616" t="s">
        <v>2635</v>
      </c>
      <c r="E394" s="2616" t="s">
        <v>2636</v>
      </c>
      <c r="F394" s="1092" t="s">
        <v>2517</v>
      </c>
      <c r="G394" s="1093" t="str">
        <f t="shared" ref="G394:N394" si="225">+G302</f>
        <v>工事1</v>
      </c>
      <c r="H394" s="1093" t="str">
        <f t="shared" si="225"/>
        <v>工事2</v>
      </c>
      <c r="I394" s="1093" t="str">
        <f t="shared" si="225"/>
        <v>工事3</v>
      </c>
      <c r="J394" s="1093" t="str">
        <f t="shared" si="225"/>
        <v>工事4</v>
      </c>
      <c r="K394" s="1093" t="str">
        <f t="shared" si="225"/>
        <v>工事5</v>
      </c>
      <c r="L394" s="1093">
        <f t="shared" si="225"/>
        <v>0</v>
      </c>
      <c r="M394" s="1093">
        <f t="shared" si="225"/>
        <v>0</v>
      </c>
      <c r="N394" s="1094">
        <f t="shared" si="225"/>
        <v>0</v>
      </c>
    </row>
    <row r="395" spans="1:14" s="896" customFormat="1" ht="14">
      <c r="A395" s="2618" t="s">
        <v>2657</v>
      </c>
      <c r="B395" s="2619"/>
      <c r="C395" s="2620"/>
      <c r="D395" s="2617"/>
      <c r="E395" s="2617"/>
      <c r="F395" s="1101"/>
      <c r="G395" s="1102"/>
      <c r="H395" s="1102"/>
      <c r="I395" s="1102"/>
      <c r="J395" s="1102"/>
      <c r="K395" s="1102"/>
      <c r="L395" s="1102"/>
      <c r="M395" s="1102"/>
      <c r="N395" s="1103"/>
    </row>
    <row r="396" spans="1:14" s="896" customFormat="1" ht="14">
      <c r="A396" s="2621"/>
      <c r="B396" s="1104" t="s">
        <v>2658</v>
      </c>
      <c r="C396" s="1105"/>
      <c r="D396" s="1106"/>
      <c r="E396" s="1107"/>
      <c r="F396" s="1108">
        <f t="shared" ref="F396:F403" si="226">SUM(G396:N396)</f>
        <v>179637174</v>
      </c>
      <c r="G396" s="1109">
        <f t="shared" ref="G396:N396" si="227">+G307-G351-G350-G346-G347</f>
        <v>37460837</v>
      </c>
      <c r="H396" s="1109">
        <f t="shared" si="227"/>
        <v>22303742</v>
      </c>
      <c r="I396" s="1109">
        <f t="shared" si="227"/>
        <v>2129897</v>
      </c>
      <c r="J396" s="1109">
        <f t="shared" si="227"/>
        <v>107535474</v>
      </c>
      <c r="K396" s="1109">
        <f t="shared" si="227"/>
        <v>10207224</v>
      </c>
      <c r="L396" s="1109">
        <f t="shared" si="227"/>
        <v>0</v>
      </c>
      <c r="M396" s="1109">
        <f t="shared" si="227"/>
        <v>0</v>
      </c>
      <c r="N396" s="1122">
        <f t="shared" si="227"/>
        <v>0</v>
      </c>
    </row>
    <row r="397" spans="1:14" s="896" customFormat="1" ht="14">
      <c r="A397" s="2622"/>
      <c r="B397" s="2607" t="s">
        <v>2541</v>
      </c>
      <c r="C397" s="1110" t="s">
        <v>2542</v>
      </c>
      <c r="D397" s="1111">
        <v>1</v>
      </c>
      <c r="E397" s="1112" t="s">
        <v>2639</v>
      </c>
      <c r="F397" s="911">
        <f t="shared" si="226"/>
        <v>0</v>
      </c>
      <c r="G397" s="912">
        <f>IF(G333&gt;=G334,+G333+G375+G314-G315-G316-G351,G333+G375)</f>
        <v>0</v>
      </c>
      <c r="H397" s="912">
        <f t="shared" ref="H397:N397" si="228">IF(H333&gt;=H334,+H333+H375+H314-H315-H316-H351,H333+H375)</f>
        <v>0</v>
      </c>
      <c r="I397" s="912">
        <f t="shared" si="228"/>
        <v>0</v>
      </c>
      <c r="J397" s="912">
        <f t="shared" si="228"/>
        <v>0</v>
      </c>
      <c r="K397" s="912">
        <f t="shared" si="228"/>
        <v>0</v>
      </c>
      <c r="L397" s="912">
        <f t="shared" si="228"/>
        <v>0</v>
      </c>
      <c r="M397" s="912">
        <f t="shared" si="228"/>
        <v>0</v>
      </c>
      <c r="N397" s="913">
        <f t="shared" si="228"/>
        <v>0</v>
      </c>
    </row>
    <row r="398" spans="1:14" s="896" customFormat="1" ht="14">
      <c r="A398" s="2622"/>
      <c r="B398" s="2605"/>
      <c r="C398" s="1110" t="s">
        <v>2543</v>
      </c>
      <c r="D398" s="1111">
        <v>1</v>
      </c>
      <c r="E398" s="1112" t="s">
        <v>2639</v>
      </c>
      <c r="F398" s="911">
        <f t="shared" si="226"/>
        <v>174413757</v>
      </c>
      <c r="G398" s="912">
        <f>IF(G333&gt;=G334,+G334+G377,G334+G377+G314-G315-G316-G351)</f>
        <v>34080165</v>
      </c>
      <c r="H398" s="912">
        <f t="shared" ref="H398:N398" si="229">IF(H333&gt;=H334,+H334+H377,H334+H377+H314-H315-H316-H351)</f>
        <v>22303742</v>
      </c>
      <c r="I398" s="912">
        <f t="shared" si="229"/>
        <v>1788517</v>
      </c>
      <c r="J398" s="912">
        <f t="shared" si="229"/>
        <v>106437806</v>
      </c>
      <c r="K398" s="912">
        <f t="shared" si="229"/>
        <v>9803527</v>
      </c>
      <c r="L398" s="912">
        <f t="shared" si="229"/>
        <v>0</v>
      </c>
      <c r="M398" s="912">
        <f t="shared" si="229"/>
        <v>0</v>
      </c>
      <c r="N398" s="913">
        <f t="shared" si="229"/>
        <v>0</v>
      </c>
    </row>
    <row r="399" spans="1:14" s="896" customFormat="1" ht="14">
      <c r="A399" s="2622"/>
      <c r="B399" s="2605"/>
      <c r="C399" s="1110" t="s">
        <v>2640</v>
      </c>
      <c r="D399" s="1111">
        <v>1</v>
      </c>
      <c r="E399" s="1112" t="s">
        <v>2639</v>
      </c>
      <c r="F399" s="911">
        <f t="shared" si="226"/>
        <v>0</v>
      </c>
      <c r="G399" s="912">
        <f>+G335+G378</f>
        <v>0</v>
      </c>
      <c r="H399" s="912">
        <f t="shared" ref="H399:N403" si="230">+H335+H378</f>
        <v>0</v>
      </c>
      <c r="I399" s="912">
        <f t="shared" si="230"/>
        <v>0</v>
      </c>
      <c r="J399" s="912">
        <f t="shared" si="230"/>
        <v>0</v>
      </c>
      <c r="K399" s="912">
        <f t="shared" si="230"/>
        <v>0</v>
      </c>
      <c r="L399" s="912">
        <f t="shared" si="230"/>
        <v>0</v>
      </c>
      <c r="M399" s="912">
        <f t="shared" si="230"/>
        <v>0</v>
      </c>
      <c r="N399" s="913">
        <f t="shared" si="230"/>
        <v>0</v>
      </c>
    </row>
    <row r="400" spans="1:14" s="896" customFormat="1" ht="14">
      <c r="A400" s="2622"/>
      <c r="B400" s="2606"/>
      <c r="C400" s="1110" t="s">
        <v>2641</v>
      </c>
      <c r="D400" s="1111">
        <v>1</v>
      </c>
      <c r="E400" s="1112" t="s">
        <v>2639</v>
      </c>
      <c r="F400" s="911">
        <f t="shared" si="226"/>
        <v>0</v>
      </c>
      <c r="G400" s="912">
        <f>+G336+G379</f>
        <v>0</v>
      </c>
      <c r="H400" s="912">
        <f t="shared" si="230"/>
        <v>0</v>
      </c>
      <c r="I400" s="912">
        <f t="shared" si="230"/>
        <v>0</v>
      </c>
      <c r="J400" s="912">
        <f t="shared" si="230"/>
        <v>0</v>
      </c>
      <c r="K400" s="912">
        <f t="shared" si="230"/>
        <v>0</v>
      </c>
      <c r="L400" s="912">
        <f t="shared" si="230"/>
        <v>0</v>
      </c>
      <c r="M400" s="912">
        <f t="shared" si="230"/>
        <v>0</v>
      </c>
      <c r="N400" s="913">
        <f t="shared" si="230"/>
        <v>0</v>
      </c>
    </row>
    <row r="401" spans="1:14" s="896" customFormat="1" ht="14">
      <c r="A401" s="2622"/>
      <c r="B401" s="2607" t="s">
        <v>2546</v>
      </c>
      <c r="C401" s="1110" t="s">
        <v>2642</v>
      </c>
      <c r="D401" s="1111">
        <v>1</v>
      </c>
      <c r="E401" s="1113">
        <v>0.02</v>
      </c>
      <c r="F401" s="911">
        <f t="shared" si="226"/>
        <v>0</v>
      </c>
      <c r="G401" s="912">
        <f>+G337+G380</f>
        <v>0</v>
      </c>
      <c r="H401" s="912">
        <f t="shared" si="230"/>
        <v>0</v>
      </c>
      <c r="I401" s="912">
        <f t="shared" si="230"/>
        <v>0</v>
      </c>
      <c r="J401" s="912">
        <f t="shared" si="230"/>
        <v>0</v>
      </c>
      <c r="K401" s="912">
        <f t="shared" si="230"/>
        <v>0</v>
      </c>
      <c r="L401" s="912">
        <f t="shared" si="230"/>
        <v>0</v>
      </c>
      <c r="M401" s="912">
        <f t="shared" si="230"/>
        <v>0</v>
      </c>
      <c r="N401" s="913">
        <f t="shared" si="230"/>
        <v>0</v>
      </c>
    </row>
    <row r="402" spans="1:14" s="896" customFormat="1" ht="14">
      <c r="A402" s="2622"/>
      <c r="B402" s="2605"/>
      <c r="C402" s="1110" t="s">
        <v>2643</v>
      </c>
      <c r="D402" s="1111">
        <v>1</v>
      </c>
      <c r="E402" s="1113">
        <v>0.02</v>
      </c>
      <c r="F402" s="911">
        <f t="shared" si="226"/>
        <v>0</v>
      </c>
      <c r="G402" s="912">
        <f>+G338+G381</f>
        <v>0</v>
      </c>
      <c r="H402" s="912">
        <f t="shared" si="230"/>
        <v>0</v>
      </c>
      <c r="I402" s="912">
        <f t="shared" si="230"/>
        <v>0</v>
      </c>
      <c r="J402" s="912">
        <f t="shared" si="230"/>
        <v>0</v>
      </c>
      <c r="K402" s="912">
        <f t="shared" si="230"/>
        <v>0</v>
      </c>
      <c r="L402" s="912">
        <f t="shared" si="230"/>
        <v>0</v>
      </c>
      <c r="M402" s="912">
        <f t="shared" si="230"/>
        <v>0</v>
      </c>
      <c r="N402" s="913">
        <f t="shared" si="230"/>
        <v>0</v>
      </c>
    </row>
    <row r="403" spans="1:14" s="896" customFormat="1" ht="14">
      <c r="A403" s="2622"/>
      <c r="B403" s="2605"/>
      <c r="C403" s="1110" t="s">
        <v>2549</v>
      </c>
      <c r="D403" s="1111">
        <v>1</v>
      </c>
      <c r="E403" s="1113">
        <v>0.02</v>
      </c>
      <c r="F403" s="911">
        <f t="shared" si="226"/>
        <v>5223417</v>
      </c>
      <c r="G403" s="912">
        <f>+G339+G382</f>
        <v>3380672</v>
      </c>
      <c r="H403" s="912">
        <f t="shared" si="230"/>
        <v>0</v>
      </c>
      <c r="I403" s="912">
        <f t="shared" si="230"/>
        <v>341380</v>
      </c>
      <c r="J403" s="912">
        <f t="shared" si="230"/>
        <v>1097668</v>
      </c>
      <c r="K403" s="912">
        <f t="shared" si="230"/>
        <v>403697</v>
      </c>
      <c r="L403" s="912">
        <f t="shared" si="230"/>
        <v>0</v>
      </c>
      <c r="M403" s="912">
        <f t="shared" si="230"/>
        <v>0</v>
      </c>
      <c r="N403" s="913">
        <f t="shared" si="230"/>
        <v>0</v>
      </c>
    </row>
    <row r="404" spans="1:14" s="896" customFormat="1" ht="14">
      <c r="A404" s="2622"/>
      <c r="B404" s="2605"/>
      <c r="C404" s="1110" t="s">
        <v>2629</v>
      </c>
      <c r="D404" s="1111"/>
      <c r="E404" s="1113"/>
      <c r="F404" s="911"/>
      <c r="G404" s="912"/>
      <c r="H404" s="912"/>
      <c r="I404" s="912"/>
      <c r="J404" s="912"/>
      <c r="K404" s="912"/>
      <c r="L404" s="912"/>
      <c r="M404" s="912"/>
      <c r="N404" s="913"/>
    </row>
    <row r="405" spans="1:14" s="896" customFormat="1" ht="14">
      <c r="A405" s="2622"/>
      <c r="B405" s="2605"/>
      <c r="C405" s="1110" t="s">
        <v>2551</v>
      </c>
      <c r="D405" s="1111"/>
      <c r="E405" s="1113"/>
      <c r="F405" s="911"/>
      <c r="G405" s="912"/>
      <c r="H405" s="912"/>
      <c r="I405" s="912"/>
      <c r="J405" s="912"/>
      <c r="K405" s="912"/>
      <c r="L405" s="912"/>
      <c r="M405" s="912"/>
      <c r="N405" s="913"/>
    </row>
    <row r="406" spans="1:14" s="896" customFormat="1" ht="14">
      <c r="A406" s="2622"/>
      <c r="B406" s="2605"/>
      <c r="C406" s="1110" t="s">
        <v>2552</v>
      </c>
      <c r="D406" s="1111">
        <v>1</v>
      </c>
      <c r="E406" s="1113">
        <v>0.02</v>
      </c>
      <c r="F406" s="911">
        <f>SUM(G406:N406)</f>
        <v>0</v>
      </c>
      <c r="G406" s="912">
        <f t="shared" ref="G406:N409" si="231">+G342+G385</f>
        <v>0</v>
      </c>
      <c r="H406" s="912">
        <f t="shared" si="231"/>
        <v>0</v>
      </c>
      <c r="I406" s="912">
        <f t="shared" si="231"/>
        <v>0</v>
      </c>
      <c r="J406" s="912">
        <f t="shared" si="231"/>
        <v>0</v>
      </c>
      <c r="K406" s="912">
        <f t="shared" si="231"/>
        <v>0</v>
      </c>
      <c r="L406" s="912">
        <f t="shared" si="231"/>
        <v>0</v>
      </c>
      <c r="M406" s="912">
        <f t="shared" si="231"/>
        <v>0</v>
      </c>
      <c r="N406" s="913">
        <f t="shared" si="231"/>
        <v>0</v>
      </c>
    </row>
    <row r="407" spans="1:14" s="896" customFormat="1" ht="14">
      <c r="A407" s="2622"/>
      <c r="B407" s="2605"/>
      <c r="C407" s="1114" t="s">
        <v>2553</v>
      </c>
      <c r="D407" s="1111">
        <v>1</v>
      </c>
      <c r="E407" s="1113">
        <v>0.02</v>
      </c>
      <c r="F407" s="911">
        <f>SUM(G407:N407)</f>
        <v>0</v>
      </c>
      <c r="G407" s="912">
        <f t="shared" si="231"/>
        <v>0</v>
      </c>
      <c r="H407" s="912">
        <f t="shared" si="231"/>
        <v>0</v>
      </c>
      <c r="I407" s="912">
        <f t="shared" si="231"/>
        <v>0</v>
      </c>
      <c r="J407" s="912">
        <f t="shared" si="231"/>
        <v>0</v>
      </c>
      <c r="K407" s="912">
        <f t="shared" si="231"/>
        <v>0</v>
      </c>
      <c r="L407" s="912">
        <f t="shared" si="231"/>
        <v>0</v>
      </c>
      <c r="M407" s="912">
        <f t="shared" si="231"/>
        <v>0</v>
      </c>
      <c r="N407" s="913">
        <f t="shared" si="231"/>
        <v>0</v>
      </c>
    </row>
    <row r="408" spans="1:14" s="896" customFormat="1" ht="14">
      <c r="A408" s="2622"/>
      <c r="B408" s="2605"/>
      <c r="C408" s="1114" t="s">
        <v>2631</v>
      </c>
      <c r="D408" s="1111">
        <v>1</v>
      </c>
      <c r="E408" s="1113">
        <v>0.02</v>
      </c>
      <c r="F408" s="911">
        <f>SUM(G408:N408)</f>
        <v>0</v>
      </c>
      <c r="G408" s="912">
        <f t="shared" si="231"/>
        <v>0</v>
      </c>
      <c r="H408" s="912">
        <f t="shared" si="231"/>
        <v>0</v>
      </c>
      <c r="I408" s="912">
        <f t="shared" si="231"/>
        <v>0</v>
      </c>
      <c r="J408" s="912">
        <f t="shared" si="231"/>
        <v>0</v>
      </c>
      <c r="K408" s="912">
        <f t="shared" si="231"/>
        <v>0</v>
      </c>
      <c r="L408" s="912">
        <f t="shared" si="231"/>
        <v>0</v>
      </c>
      <c r="M408" s="912">
        <f t="shared" si="231"/>
        <v>0</v>
      </c>
      <c r="N408" s="913">
        <f t="shared" si="231"/>
        <v>0</v>
      </c>
    </row>
    <row r="409" spans="1:14" s="896" customFormat="1" ht="14">
      <c r="A409" s="2622"/>
      <c r="B409" s="2606"/>
      <c r="C409" s="1110" t="s">
        <v>2555</v>
      </c>
      <c r="D409" s="1111">
        <v>1</v>
      </c>
      <c r="E409" s="1113">
        <v>0.02</v>
      </c>
      <c r="F409" s="911">
        <f>SUM(G409:N409)</f>
        <v>0</v>
      </c>
      <c r="G409" s="912">
        <f t="shared" si="231"/>
        <v>0</v>
      </c>
      <c r="H409" s="912">
        <f t="shared" si="231"/>
        <v>0</v>
      </c>
      <c r="I409" s="912">
        <f t="shared" si="231"/>
        <v>0</v>
      </c>
      <c r="J409" s="912">
        <f t="shared" si="231"/>
        <v>0</v>
      </c>
      <c r="K409" s="912">
        <f t="shared" si="231"/>
        <v>0</v>
      </c>
      <c r="L409" s="912">
        <f t="shared" si="231"/>
        <v>0</v>
      </c>
      <c r="M409" s="912">
        <f t="shared" si="231"/>
        <v>0</v>
      </c>
      <c r="N409" s="913">
        <f t="shared" si="231"/>
        <v>0</v>
      </c>
    </row>
    <row r="410" spans="1:14" s="896" customFormat="1" ht="14">
      <c r="A410" s="2623"/>
      <c r="B410" s="1115" t="s">
        <v>2644</v>
      </c>
      <c r="C410" s="1154" t="s">
        <v>2659</v>
      </c>
      <c r="D410" s="1117">
        <v>1</v>
      </c>
      <c r="E410" s="1118">
        <v>0</v>
      </c>
      <c r="F410" s="946">
        <f>SUM(G410:N410)</f>
        <v>471415</v>
      </c>
      <c r="G410" s="1073">
        <f t="shared" ref="G410:N410" si="232">SUM(G346:G352)</f>
        <v>75152</v>
      </c>
      <c r="H410" s="1073">
        <f t="shared" si="232"/>
        <v>10832</v>
      </c>
      <c r="I410" s="1073">
        <f t="shared" si="232"/>
        <v>1593</v>
      </c>
      <c r="J410" s="1073">
        <f t="shared" si="232"/>
        <v>383838</v>
      </c>
      <c r="K410" s="1073">
        <f t="shared" si="232"/>
        <v>0</v>
      </c>
      <c r="L410" s="1073">
        <f t="shared" si="232"/>
        <v>0</v>
      </c>
      <c r="M410" s="1073">
        <f t="shared" si="232"/>
        <v>0</v>
      </c>
      <c r="N410" s="1074">
        <f t="shared" si="232"/>
        <v>0</v>
      </c>
    </row>
    <row r="411" spans="1:14" s="896" customFormat="1" ht="14">
      <c r="A411" s="1119"/>
      <c r="B411" s="1120"/>
      <c r="C411" s="1121"/>
      <c r="D411" s="2624"/>
      <c r="E411" s="2624"/>
      <c r="F411" s="1108"/>
      <c r="G411" s="1109"/>
      <c r="H411" s="1109"/>
      <c r="I411" s="1109"/>
      <c r="J411" s="1109"/>
      <c r="K411" s="1109"/>
      <c r="L411" s="1109"/>
      <c r="M411" s="1109"/>
      <c r="N411" s="1122"/>
    </row>
    <row r="412" spans="1:14" s="896" customFormat="1" ht="14">
      <c r="A412" s="2618" t="s">
        <v>2660</v>
      </c>
      <c r="B412" s="2619"/>
      <c r="C412" s="2620"/>
      <c r="D412" s="2625"/>
      <c r="E412" s="2625"/>
      <c r="F412" s="1101"/>
      <c r="G412" s="1102"/>
      <c r="H412" s="1102"/>
      <c r="I412" s="1102"/>
      <c r="J412" s="1102"/>
      <c r="K412" s="1102"/>
      <c r="L412" s="1102"/>
      <c r="M412" s="1102"/>
      <c r="N412" s="1103"/>
    </row>
    <row r="413" spans="1:14" s="896" customFormat="1" ht="14">
      <c r="A413" s="2621"/>
      <c r="B413" s="2604" t="s">
        <v>2541</v>
      </c>
      <c r="C413" s="1123" t="s">
        <v>2542</v>
      </c>
      <c r="D413" s="1124"/>
      <c r="E413" s="1125" t="s">
        <v>2639</v>
      </c>
      <c r="F413" s="1126" t="s">
        <v>2647</v>
      </c>
      <c r="G413" s="1127">
        <f t="shared" ref="G413:N413" si="233">IF(G397=0,0,+G497/100)</f>
        <v>0</v>
      </c>
      <c r="H413" s="1127">
        <f t="shared" si="233"/>
        <v>0</v>
      </c>
      <c r="I413" s="1127">
        <f t="shared" si="233"/>
        <v>0</v>
      </c>
      <c r="J413" s="1127">
        <f t="shared" si="233"/>
        <v>0</v>
      </c>
      <c r="K413" s="1127">
        <f t="shared" si="233"/>
        <v>0</v>
      </c>
      <c r="L413" s="1127">
        <f t="shared" si="233"/>
        <v>0</v>
      </c>
      <c r="M413" s="1127">
        <f t="shared" si="233"/>
        <v>0</v>
      </c>
      <c r="N413" s="1128">
        <f t="shared" si="233"/>
        <v>0</v>
      </c>
    </row>
    <row r="414" spans="1:14" s="896" customFormat="1" ht="14">
      <c r="A414" s="2622"/>
      <c r="B414" s="2605"/>
      <c r="C414" s="1129"/>
      <c r="D414" s="1130">
        <f>+D397</f>
        <v>1</v>
      </c>
      <c r="E414" s="1131" t="s">
        <v>2639</v>
      </c>
      <c r="F414" s="1064">
        <f>SUM(G414:N414)</f>
        <v>0</v>
      </c>
      <c r="G414" s="1080">
        <f t="shared" ref="G414:N414" si="234">ROUNDDOWN(G397*G413*$D414,0)</f>
        <v>0</v>
      </c>
      <c r="H414" s="1080">
        <f t="shared" si="234"/>
        <v>0</v>
      </c>
      <c r="I414" s="1080">
        <f t="shared" si="234"/>
        <v>0</v>
      </c>
      <c r="J414" s="1080">
        <f t="shared" si="234"/>
        <v>0</v>
      </c>
      <c r="K414" s="1080">
        <f t="shared" si="234"/>
        <v>0</v>
      </c>
      <c r="L414" s="1080">
        <f t="shared" si="234"/>
        <v>0</v>
      </c>
      <c r="M414" s="1080">
        <f t="shared" si="234"/>
        <v>0</v>
      </c>
      <c r="N414" s="1081">
        <f t="shared" si="234"/>
        <v>0</v>
      </c>
    </row>
    <row r="415" spans="1:14" s="896" customFormat="1" ht="14">
      <c r="A415" s="2622"/>
      <c r="B415" s="2605"/>
      <c r="C415" s="1132" t="s">
        <v>2543</v>
      </c>
      <c r="D415" s="1133"/>
      <c r="E415" s="1131" t="s">
        <v>2639</v>
      </c>
      <c r="F415" s="1134" t="s">
        <v>2647</v>
      </c>
      <c r="G415" s="1155">
        <f t="shared" ref="G415:N415" si="235">IF(G398=0,0,+G505/100)</f>
        <v>0.11939999999999999</v>
      </c>
      <c r="H415" s="1135">
        <f>IF(H398=0,0,+H505/100)</f>
        <v>0.1013</v>
      </c>
      <c r="I415" s="1135">
        <f t="shared" si="235"/>
        <v>0.11939999999999999</v>
      </c>
      <c r="J415" s="1135">
        <f t="shared" si="235"/>
        <v>0.11939999999999999</v>
      </c>
      <c r="K415" s="1135">
        <f t="shared" si="235"/>
        <v>0.11939999999999999</v>
      </c>
      <c r="L415" s="1135">
        <f t="shared" si="235"/>
        <v>0</v>
      </c>
      <c r="M415" s="1135">
        <f t="shared" si="235"/>
        <v>0</v>
      </c>
      <c r="N415" s="1136">
        <f t="shared" si="235"/>
        <v>0</v>
      </c>
    </row>
    <row r="416" spans="1:14" s="896" customFormat="1" ht="14">
      <c r="A416" s="2622"/>
      <c r="B416" s="2605"/>
      <c r="C416" s="1129"/>
      <c r="D416" s="1137">
        <f t="shared" ref="D416:D421" si="236">+D398</f>
        <v>1</v>
      </c>
      <c r="E416" s="1131" t="s">
        <v>2639</v>
      </c>
      <c r="F416" s="1064">
        <f t="shared" ref="F416:F421" si="237">SUM(G416:N416)</f>
        <v>20421303</v>
      </c>
      <c r="G416" s="1080">
        <f t="shared" ref="G416:N416" si="238">ROUNDDOWN(G398*G415*$D416,0)</f>
        <v>4069171</v>
      </c>
      <c r="H416" s="1080">
        <f t="shared" si="238"/>
        <v>2259369</v>
      </c>
      <c r="I416" s="1080">
        <f t="shared" si="238"/>
        <v>213548</v>
      </c>
      <c r="J416" s="1080">
        <f t="shared" si="238"/>
        <v>12708674</v>
      </c>
      <c r="K416" s="1080">
        <f t="shared" si="238"/>
        <v>1170541</v>
      </c>
      <c r="L416" s="1080">
        <f t="shared" si="238"/>
        <v>0</v>
      </c>
      <c r="M416" s="1080">
        <f t="shared" si="238"/>
        <v>0</v>
      </c>
      <c r="N416" s="1081">
        <f t="shared" si="238"/>
        <v>0</v>
      </c>
    </row>
    <row r="417" spans="1:14" s="896" customFormat="1" ht="14">
      <c r="A417" s="2622"/>
      <c r="B417" s="2605"/>
      <c r="C417" s="1110" t="s">
        <v>2565</v>
      </c>
      <c r="D417" s="1138">
        <f t="shared" si="236"/>
        <v>1</v>
      </c>
      <c r="E417" s="1131" t="s">
        <v>2639</v>
      </c>
      <c r="F417" s="1064">
        <f t="shared" si="237"/>
        <v>0</v>
      </c>
      <c r="G417" s="1080">
        <f t="shared" ref="G417:N417" si="239">ROUNDDOWN(G399*G413*$D417,0)</f>
        <v>0</v>
      </c>
      <c r="H417" s="1080">
        <f t="shared" si="239"/>
        <v>0</v>
      </c>
      <c r="I417" s="1080">
        <f t="shared" si="239"/>
        <v>0</v>
      </c>
      <c r="J417" s="1080">
        <f t="shared" si="239"/>
        <v>0</v>
      </c>
      <c r="K417" s="1080">
        <f t="shared" si="239"/>
        <v>0</v>
      </c>
      <c r="L417" s="1080">
        <f t="shared" si="239"/>
        <v>0</v>
      </c>
      <c r="M417" s="1080">
        <f t="shared" si="239"/>
        <v>0</v>
      </c>
      <c r="N417" s="1081">
        <f t="shared" si="239"/>
        <v>0</v>
      </c>
    </row>
    <row r="418" spans="1:14" s="896" customFormat="1" ht="14">
      <c r="A418" s="2622"/>
      <c r="B418" s="2606"/>
      <c r="C418" s="1110" t="s">
        <v>2566</v>
      </c>
      <c r="D418" s="1138">
        <f t="shared" si="236"/>
        <v>1</v>
      </c>
      <c r="E418" s="1131" t="s">
        <v>2639</v>
      </c>
      <c r="F418" s="1064">
        <f t="shared" si="237"/>
        <v>0</v>
      </c>
      <c r="G418" s="1080">
        <f t="shared" ref="G418:N418" si="240">ROUNDDOWN(G400*G415*$D418,0)</f>
        <v>0</v>
      </c>
      <c r="H418" s="1080">
        <f t="shared" si="240"/>
        <v>0</v>
      </c>
      <c r="I418" s="1080">
        <f t="shared" si="240"/>
        <v>0</v>
      </c>
      <c r="J418" s="1080">
        <f t="shared" si="240"/>
        <v>0</v>
      </c>
      <c r="K418" s="1080">
        <f t="shared" si="240"/>
        <v>0</v>
      </c>
      <c r="L418" s="1080">
        <f t="shared" si="240"/>
        <v>0</v>
      </c>
      <c r="M418" s="1080">
        <f t="shared" si="240"/>
        <v>0</v>
      </c>
      <c r="N418" s="1081">
        <f t="shared" si="240"/>
        <v>0</v>
      </c>
    </row>
    <row r="419" spans="1:14" s="896" customFormat="1" ht="14">
      <c r="A419" s="2622"/>
      <c r="B419" s="2607" t="s">
        <v>2546</v>
      </c>
      <c r="C419" s="1110" t="s">
        <v>2642</v>
      </c>
      <c r="D419" s="1138">
        <f t="shared" si="236"/>
        <v>1</v>
      </c>
      <c r="E419" s="1113">
        <f>+E401</f>
        <v>0.02</v>
      </c>
      <c r="F419" s="1064">
        <f t="shared" si="237"/>
        <v>0</v>
      </c>
      <c r="G419" s="1080">
        <f t="shared" ref="G419:N427" si="241">ROUNDDOWN(G401*$E419*$D419,0)</f>
        <v>0</v>
      </c>
      <c r="H419" s="1080">
        <f t="shared" si="241"/>
        <v>0</v>
      </c>
      <c r="I419" s="1080">
        <f t="shared" si="241"/>
        <v>0</v>
      </c>
      <c r="J419" s="1080">
        <f t="shared" si="241"/>
        <v>0</v>
      </c>
      <c r="K419" s="1080">
        <f t="shared" si="241"/>
        <v>0</v>
      </c>
      <c r="L419" s="1080">
        <f t="shared" si="241"/>
        <v>0</v>
      </c>
      <c r="M419" s="1080">
        <f t="shared" si="241"/>
        <v>0</v>
      </c>
      <c r="N419" s="1081">
        <f t="shared" si="241"/>
        <v>0</v>
      </c>
    </row>
    <row r="420" spans="1:14" s="896" customFormat="1" ht="14">
      <c r="A420" s="2622"/>
      <c r="B420" s="2605"/>
      <c r="C420" s="1110" t="s">
        <v>2648</v>
      </c>
      <c r="D420" s="1138">
        <f t="shared" si="236"/>
        <v>1</v>
      </c>
      <c r="E420" s="1113">
        <f>+E402</f>
        <v>0.02</v>
      </c>
      <c r="F420" s="1064">
        <f t="shared" si="237"/>
        <v>0</v>
      </c>
      <c r="G420" s="1080">
        <f t="shared" si="241"/>
        <v>0</v>
      </c>
      <c r="H420" s="1080">
        <f t="shared" si="241"/>
        <v>0</v>
      </c>
      <c r="I420" s="1080">
        <f>ROUNDDOWN(I402*$E420*$D420,0)</f>
        <v>0</v>
      </c>
      <c r="J420" s="1080">
        <f>ROUNDDOWN(J402*$E420*$D420,0)</f>
        <v>0</v>
      </c>
      <c r="K420" s="1080">
        <f t="shared" si="241"/>
        <v>0</v>
      </c>
      <c r="L420" s="1080">
        <f t="shared" si="241"/>
        <v>0</v>
      </c>
      <c r="M420" s="1080">
        <f t="shared" si="241"/>
        <v>0</v>
      </c>
      <c r="N420" s="1081">
        <f t="shared" si="241"/>
        <v>0</v>
      </c>
    </row>
    <row r="421" spans="1:14" s="896" customFormat="1" ht="14">
      <c r="A421" s="2622"/>
      <c r="B421" s="2605"/>
      <c r="C421" s="1110" t="s">
        <v>2549</v>
      </c>
      <c r="D421" s="1138">
        <f t="shared" si="236"/>
        <v>1</v>
      </c>
      <c r="E421" s="1113">
        <f>+E403</f>
        <v>0.02</v>
      </c>
      <c r="F421" s="1064">
        <f t="shared" si="237"/>
        <v>104466</v>
      </c>
      <c r="G421" s="1080">
        <f t="shared" si="241"/>
        <v>67613</v>
      </c>
      <c r="H421" s="1080">
        <f t="shared" si="241"/>
        <v>0</v>
      </c>
      <c r="I421" s="1080">
        <f>ROUNDDOWN(I403*$E421*$D421,0)</f>
        <v>6827</v>
      </c>
      <c r="J421" s="1080">
        <f>ROUNDDOWN(J403*$E421*$D421,0)</f>
        <v>21953</v>
      </c>
      <c r="K421" s="1080">
        <f t="shared" si="241"/>
        <v>8073</v>
      </c>
      <c r="L421" s="1080">
        <f t="shared" si="241"/>
        <v>0</v>
      </c>
      <c r="M421" s="1080">
        <f t="shared" si="241"/>
        <v>0</v>
      </c>
      <c r="N421" s="1081">
        <f t="shared" si="241"/>
        <v>0</v>
      </c>
    </row>
    <row r="422" spans="1:14" s="896" customFormat="1" ht="14">
      <c r="A422" s="2622"/>
      <c r="B422" s="2605"/>
      <c r="C422" s="1110" t="s">
        <v>2629</v>
      </c>
      <c r="D422" s="1138"/>
      <c r="E422" s="1113"/>
      <c r="F422" s="1064"/>
      <c r="G422" s="1080"/>
      <c r="H422" s="1080"/>
      <c r="I422" s="1080"/>
      <c r="J422" s="1080"/>
      <c r="K422" s="1080"/>
      <c r="L422" s="1080"/>
      <c r="M422" s="1080"/>
      <c r="N422" s="1081"/>
    </row>
    <row r="423" spans="1:14" s="896" customFormat="1" ht="14">
      <c r="A423" s="2622"/>
      <c r="B423" s="2605"/>
      <c r="C423" s="1139"/>
      <c r="D423" s="1138"/>
      <c r="E423" s="1113"/>
      <c r="F423" s="1064"/>
      <c r="G423" s="1080"/>
      <c r="H423" s="1080"/>
      <c r="I423" s="1080"/>
      <c r="J423" s="1080"/>
      <c r="K423" s="1080"/>
      <c r="L423" s="1080"/>
      <c r="M423" s="1080"/>
      <c r="N423" s="1081"/>
    </row>
    <row r="424" spans="1:14" s="896" customFormat="1" ht="14">
      <c r="A424" s="2622"/>
      <c r="B424" s="2605"/>
      <c r="C424" s="1110" t="s">
        <v>2552</v>
      </c>
      <c r="D424" s="1138">
        <f t="shared" ref="D424:E427" si="242">+D406</f>
        <v>1</v>
      </c>
      <c r="E424" s="1113">
        <f t="shared" si="242"/>
        <v>0.02</v>
      </c>
      <c r="F424" s="1064">
        <f t="shared" ref="F424:F432" si="243">SUM(G424:N424)</f>
        <v>0</v>
      </c>
      <c r="G424" s="1080">
        <f t="shared" ref="G424:J427" si="244">ROUNDDOWN(G406*$E424*$D424,0)</f>
        <v>0</v>
      </c>
      <c r="H424" s="1080">
        <f t="shared" si="244"/>
        <v>0</v>
      </c>
      <c r="I424" s="1080">
        <f t="shared" si="244"/>
        <v>0</v>
      </c>
      <c r="J424" s="1080">
        <f t="shared" si="244"/>
        <v>0</v>
      </c>
      <c r="K424" s="1080">
        <f t="shared" si="241"/>
        <v>0</v>
      </c>
      <c r="L424" s="1080">
        <f t="shared" si="241"/>
        <v>0</v>
      </c>
      <c r="M424" s="1080">
        <f t="shared" si="241"/>
        <v>0</v>
      </c>
      <c r="N424" s="1081">
        <f t="shared" si="241"/>
        <v>0</v>
      </c>
    </row>
    <row r="425" spans="1:14" s="896" customFormat="1" ht="14">
      <c r="A425" s="2622"/>
      <c r="B425" s="2605"/>
      <c r="C425" s="1114" t="s">
        <v>2553</v>
      </c>
      <c r="D425" s="1138">
        <f t="shared" si="242"/>
        <v>1</v>
      </c>
      <c r="E425" s="1113">
        <f t="shared" si="242"/>
        <v>0.02</v>
      </c>
      <c r="F425" s="1064">
        <f t="shared" si="243"/>
        <v>0</v>
      </c>
      <c r="G425" s="1080">
        <f t="shared" si="244"/>
        <v>0</v>
      </c>
      <c r="H425" s="1080">
        <f t="shared" si="244"/>
        <v>0</v>
      </c>
      <c r="I425" s="1080">
        <f t="shared" si="244"/>
        <v>0</v>
      </c>
      <c r="J425" s="1080">
        <f t="shared" si="244"/>
        <v>0</v>
      </c>
      <c r="K425" s="1080">
        <f t="shared" si="241"/>
        <v>0</v>
      </c>
      <c r="L425" s="1080">
        <f t="shared" si="241"/>
        <v>0</v>
      </c>
      <c r="M425" s="1080">
        <f t="shared" si="241"/>
        <v>0</v>
      </c>
      <c r="N425" s="1081">
        <f t="shared" si="241"/>
        <v>0</v>
      </c>
    </row>
    <row r="426" spans="1:14" s="896" customFormat="1" ht="14">
      <c r="A426" s="2622"/>
      <c r="B426" s="2605"/>
      <c r="C426" s="1114" t="s">
        <v>2631</v>
      </c>
      <c r="D426" s="1138">
        <f t="shared" si="242"/>
        <v>1</v>
      </c>
      <c r="E426" s="1113">
        <f t="shared" si="242"/>
        <v>0.02</v>
      </c>
      <c r="F426" s="1064">
        <f t="shared" si="243"/>
        <v>0</v>
      </c>
      <c r="G426" s="1080">
        <f t="shared" si="244"/>
        <v>0</v>
      </c>
      <c r="H426" s="1080">
        <f t="shared" si="244"/>
        <v>0</v>
      </c>
      <c r="I426" s="1080">
        <f t="shared" si="244"/>
        <v>0</v>
      </c>
      <c r="J426" s="1080">
        <f t="shared" si="244"/>
        <v>0</v>
      </c>
      <c r="K426" s="1080">
        <f t="shared" si="241"/>
        <v>0</v>
      </c>
      <c r="L426" s="1080">
        <f t="shared" si="241"/>
        <v>0</v>
      </c>
      <c r="M426" s="1080">
        <f t="shared" si="241"/>
        <v>0</v>
      </c>
      <c r="N426" s="1081">
        <f t="shared" si="241"/>
        <v>0</v>
      </c>
    </row>
    <row r="427" spans="1:14" s="896" customFormat="1" ht="14">
      <c r="A427" s="2622"/>
      <c r="B427" s="2606"/>
      <c r="C427" s="1110" t="s">
        <v>2661</v>
      </c>
      <c r="D427" s="1138">
        <f t="shared" si="242"/>
        <v>1</v>
      </c>
      <c r="E427" s="1113">
        <f t="shared" si="242"/>
        <v>0.02</v>
      </c>
      <c r="F427" s="1064">
        <f t="shared" si="243"/>
        <v>0</v>
      </c>
      <c r="G427" s="1080">
        <f t="shared" si="244"/>
        <v>0</v>
      </c>
      <c r="H427" s="1080">
        <f t="shared" si="244"/>
        <v>0</v>
      </c>
      <c r="I427" s="1080">
        <f t="shared" si="244"/>
        <v>0</v>
      </c>
      <c r="J427" s="1080">
        <f t="shared" si="244"/>
        <v>0</v>
      </c>
      <c r="K427" s="1080">
        <f t="shared" si="241"/>
        <v>0</v>
      </c>
      <c r="L427" s="1080">
        <f t="shared" si="241"/>
        <v>0</v>
      </c>
      <c r="M427" s="1080">
        <f t="shared" si="241"/>
        <v>0</v>
      </c>
      <c r="N427" s="1081">
        <f t="shared" si="241"/>
        <v>0</v>
      </c>
    </row>
    <row r="428" spans="1:14" s="896" customFormat="1" ht="14">
      <c r="A428" s="2622"/>
      <c r="B428" s="2643" t="s">
        <v>2662</v>
      </c>
      <c r="C428" s="1110" t="s">
        <v>2574</v>
      </c>
      <c r="D428" s="1156"/>
      <c r="E428" s="1157"/>
      <c r="F428" s="1064">
        <f t="shared" si="243"/>
        <v>0</v>
      </c>
      <c r="G428" s="1302">
        <f t="shared" ref="G428:N428" si="245">+G212+G59</f>
        <v>0</v>
      </c>
      <c r="H428" s="1302">
        <f t="shared" si="245"/>
        <v>0</v>
      </c>
      <c r="I428" s="1302">
        <f t="shared" si="245"/>
        <v>0</v>
      </c>
      <c r="J428" s="1302">
        <f t="shared" si="245"/>
        <v>0</v>
      </c>
      <c r="K428" s="1302">
        <f t="shared" si="245"/>
        <v>0</v>
      </c>
      <c r="L428" s="1302">
        <f t="shared" si="245"/>
        <v>0</v>
      </c>
      <c r="M428" s="1302">
        <f t="shared" si="245"/>
        <v>0</v>
      </c>
      <c r="N428" s="1303">
        <f t="shared" si="245"/>
        <v>0</v>
      </c>
    </row>
    <row r="429" spans="1:14" s="896" customFormat="1" ht="14">
      <c r="A429" s="2622"/>
      <c r="B429" s="2644"/>
      <c r="C429" s="1160" t="s">
        <v>2663</v>
      </c>
      <c r="D429" s="1156"/>
      <c r="E429" s="1157"/>
      <c r="F429" s="1064">
        <f t="shared" si="243"/>
        <v>0</v>
      </c>
      <c r="G429" s="912"/>
      <c r="H429" s="912"/>
      <c r="I429" s="912"/>
      <c r="J429" s="912"/>
      <c r="K429" s="912"/>
      <c r="L429" s="912"/>
      <c r="M429" s="912"/>
      <c r="N429" s="913"/>
    </row>
    <row r="430" spans="1:14" s="896" customFormat="1" ht="15" thickBot="1">
      <c r="A430" s="2626"/>
      <c r="B430" s="1161" t="s">
        <v>2644</v>
      </c>
      <c r="C430" s="1154" t="s">
        <v>2659</v>
      </c>
      <c r="D430" s="1156">
        <f>+D410</f>
        <v>1</v>
      </c>
      <c r="E430" s="1157">
        <f>+E410</f>
        <v>0</v>
      </c>
      <c r="F430" s="1064">
        <f t="shared" si="243"/>
        <v>0</v>
      </c>
      <c r="G430" s="1080">
        <f t="shared" ref="G430:N430" si="246">ROUNDDOWN(G410*$E430*$D430,0)</f>
        <v>0</v>
      </c>
      <c r="H430" s="1080">
        <f t="shared" si="246"/>
        <v>0</v>
      </c>
      <c r="I430" s="1080">
        <f t="shared" si="246"/>
        <v>0</v>
      </c>
      <c r="J430" s="1080">
        <f t="shared" si="246"/>
        <v>0</v>
      </c>
      <c r="K430" s="1080">
        <f t="shared" si="246"/>
        <v>0</v>
      </c>
      <c r="L430" s="1080">
        <f t="shared" si="246"/>
        <v>0</v>
      </c>
      <c r="M430" s="1080">
        <f t="shared" si="246"/>
        <v>0</v>
      </c>
      <c r="N430" s="1162">
        <f t="shared" si="246"/>
        <v>0</v>
      </c>
    </row>
    <row r="431" spans="1:14" s="896" customFormat="1" ht="15" thickTop="1">
      <c r="A431" s="1163"/>
      <c r="B431" s="1164"/>
      <c r="C431" s="1165" t="s">
        <v>2664</v>
      </c>
      <c r="D431" s="1166"/>
      <c r="E431" s="1167"/>
      <c r="F431" s="1168">
        <f t="shared" si="243"/>
        <v>20525769</v>
      </c>
      <c r="G431" s="1169">
        <f t="shared" ref="G431:N431" si="247">SUM(G416:G430)+G414</f>
        <v>4136784</v>
      </c>
      <c r="H431" s="1169">
        <f t="shared" si="247"/>
        <v>2259369</v>
      </c>
      <c r="I431" s="1169">
        <f t="shared" si="247"/>
        <v>220375</v>
      </c>
      <c r="J431" s="1169">
        <f t="shared" si="247"/>
        <v>12730627</v>
      </c>
      <c r="K431" s="1169">
        <f t="shared" si="247"/>
        <v>1178614</v>
      </c>
      <c r="L431" s="1169">
        <f t="shared" si="247"/>
        <v>0</v>
      </c>
      <c r="M431" s="1169">
        <f t="shared" si="247"/>
        <v>0</v>
      </c>
      <c r="N431" s="1170">
        <f t="shared" si="247"/>
        <v>0</v>
      </c>
    </row>
    <row r="432" spans="1:14" s="896" customFormat="1" ht="14">
      <c r="A432" s="1171"/>
      <c r="B432" s="1172"/>
      <c r="C432" s="1072" t="s">
        <v>2665</v>
      </c>
      <c r="D432" s="1173"/>
      <c r="E432" s="945"/>
      <c r="F432" s="946">
        <f t="shared" si="243"/>
        <v>200634358</v>
      </c>
      <c r="G432" s="1073">
        <f t="shared" ref="G432:N432" si="248">+G307+G431</f>
        <v>41672773</v>
      </c>
      <c r="H432" s="1073">
        <f t="shared" si="248"/>
        <v>24573943</v>
      </c>
      <c r="I432" s="1073">
        <f t="shared" si="248"/>
        <v>2351865</v>
      </c>
      <c r="J432" s="1073">
        <f t="shared" si="248"/>
        <v>120649939</v>
      </c>
      <c r="K432" s="1073">
        <f t="shared" si="248"/>
        <v>11385838</v>
      </c>
      <c r="L432" s="1073">
        <f t="shared" si="248"/>
        <v>0</v>
      </c>
      <c r="M432" s="1073">
        <f t="shared" si="248"/>
        <v>0</v>
      </c>
      <c r="N432" s="1074">
        <f t="shared" si="248"/>
        <v>0</v>
      </c>
    </row>
    <row r="433" spans="1:14" s="896" customFormat="1" ht="14">
      <c r="A433" s="877"/>
      <c r="B433" s="878"/>
      <c r="C433" s="1310" t="s">
        <v>2728</v>
      </c>
      <c r="D433" s="1310"/>
      <c r="E433" s="1311"/>
      <c r="F433" s="1312"/>
      <c r="G433" s="1313"/>
      <c r="H433" s="1314"/>
      <c r="I433" s="1314"/>
      <c r="J433" s="1314"/>
      <c r="K433" s="1314"/>
      <c r="L433" s="1314"/>
      <c r="M433" s="1314"/>
      <c r="N433" s="1315" t="s">
        <v>2729</v>
      </c>
    </row>
    <row r="434" spans="1:14" s="896" customFormat="1" ht="14">
      <c r="A434" s="1294"/>
      <c r="B434" s="1295"/>
      <c r="C434" s="1295"/>
      <c r="D434" s="1295"/>
      <c r="E434" s="1295"/>
      <c r="F434" s="1043"/>
      <c r="G434" s="1046"/>
      <c r="H434" s="1046"/>
      <c r="I434" s="1046"/>
      <c r="J434" s="1046"/>
      <c r="K434" s="1046"/>
      <c r="L434" s="1046"/>
      <c r="M434" s="1046"/>
      <c r="N434" s="1316"/>
    </row>
    <row r="435" spans="1:14" s="896" customFormat="1" ht="14">
      <c r="A435" s="2627"/>
      <c r="B435" s="2628"/>
      <c r="C435" s="2629"/>
      <c r="D435" s="1175"/>
      <c r="E435" s="1091" t="s">
        <v>2668</v>
      </c>
      <c r="F435" s="1092" t="s">
        <v>2517</v>
      </c>
      <c r="G435" s="1093" t="str">
        <f t="shared" ref="G435:N435" si="249">+G302</f>
        <v>工事1</v>
      </c>
      <c r="H435" s="1093" t="str">
        <f t="shared" si="249"/>
        <v>工事2</v>
      </c>
      <c r="I435" s="1093" t="str">
        <f t="shared" si="249"/>
        <v>工事3</v>
      </c>
      <c r="J435" s="1093" t="str">
        <f t="shared" si="249"/>
        <v>工事4</v>
      </c>
      <c r="K435" s="1093" t="str">
        <f t="shared" si="249"/>
        <v>工事5</v>
      </c>
      <c r="L435" s="1093">
        <f t="shared" si="249"/>
        <v>0</v>
      </c>
      <c r="M435" s="1093">
        <f t="shared" si="249"/>
        <v>0</v>
      </c>
      <c r="N435" s="1094">
        <f t="shared" si="249"/>
        <v>0</v>
      </c>
    </row>
    <row r="436" spans="1:14" s="896" customFormat="1" ht="15" thickBot="1">
      <c r="A436" s="2630"/>
      <c r="B436" s="2631"/>
      <c r="C436" s="2632"/>
      <c r="D436" s="1176"/>
      <c r="E436" s="1177"/>
      <c r="F436" s="1053"/>
      <c r="G436" s="1178"/>
      <c r="H436" s="1178"/>
      <c r="I436" s="1178"/>
      <c r="J436" s="1178"/>
      <c r="K436" s="1178"/>
      <c r="L436" s="1178"/>
      <c r="M436" s="1178"/>
      <c r="N436" s="1179"/>
    </row>
    <row r="437" spans="1:14" s="896" customFormat="1" ht="15" thickBot="1">
      <c r="A437" s="1180"/>
      <c r="B437" s="1181"/>
      <c r="C437" s="1182" t="s">
        <v>2669</v>
      </c>
      <c r="D437" s="1183"/>
      <c r="E437" s="1184"/>
      <c r="F437" s="1185">
        <f>SUM(G437:N437)</f>
        <v>200634358</v>
      </c>
      <c r="G437" s="1186">
        <f t="shared" ref="G437:N437" si="250">IF(G438="",+G432,0)</f>
        <v>41672773</v>
      </c>
      <c r="H437" s="1186">
        <f t="shared" si="250"/>
        <v>24573943</v>
      </c>
      <c r="I437" s="1186">
        <f t="shared" si="250"/>
        <v>2351865</v>
      </c>
      <c r="J437" s="1186">
        <f t="shared" si="250"/>
        <v>120649939</v>
      </c>
      <c r="K437" s="1186">
        <f t="shared" si="250"/>
        <v>11385838</v>
      </c>
      <c r="L437" s="1186">
        <f t="shared" si="250"/>
        <v>0</v>
      </c>
      <c r="M437" s="1186">
        <f t="shared" si="250"/>
        <v>0</v>
      </c>
      <c r="N437" s="1187">
        <f t="shared" si="250"/>
        <v>0</v>
      </c>
    </row>
    <row r="438" spans="1:14" s="896" customFormat="1" ht="14">
      <c r="A438" s="1294"/>
      <c r="B438" s="1295"/>
      <c r="C438" s="1188" t="s">
        <v>2670</v>
      </c>
      <c r="D438" s="1189"/>
      <c r="E438" s="1190"/>
      <c r="F438" s="926">
        <f>F223</f>
        <v>0</v>
      </c>
      <c r="G438" s="926" t="str">
        <f>IF(G460=0,"",G432)</f>
        <v/>
      </c>
      <c r="H438" s="926" t="str">
        <f t="shared" ref="H438:N438" si="251">IF(H460=0,"",H432)</f>
        <v/>
      </c>
      <c r="I438" s="926" t="str">
        <f t="shared" si="251"/>
        <v/>
      </c>
      <c r="J438" s="926" t="str">
        <f t="shared" si="251"/>
        <v/>
      </c>
      <c r="K438" s="926" t="str">
        <f t="shared" si="251"/>
        <v/>
      </c>
      <c r="L438" s="926" t="str">
        <f t="shared" si="251"/>
        <v/>
      </c>
      <c r="M438" s="926" t="str">
        <f t="shared" si="251"/>
        <v/>
      </c>
      <c r="N438" s="1191" t="str">
        <f t="shared" si="251"/>
        <v/>
      </c>
    </row>
    <row r="439" spans="1:14" s="896" customFormat="1" ht="14">
      <c r="A439" s="1171"/>
      <c r="B439" s="1172"/>
      <c r="C439" s="2633" t="s">
        <v>2671</v>
      </c>
      <c r="D439" s="2633"/>
      <c r="E439" s="2634"/>
      <c r="F439" s="946">
        <f>F437+F438-F447</f>
        <v>200634358</v>
      </c>
      <c r="G439" s="1073"/>
      <c r="H439" s="1073"/>
      <c r="I439" s="1073"/>
      <c r="J439" s="1073"/>
      <c r="K439" s="1073"/>
      <c r="L439" s="1073"/>
      <c r="M439" s="1073"/>
      <c r="N439" s="1074"/>
    </row>
    <row r="440" spans="1:14" s="896" customFormat="1" ht="14">
      <c r="A440" s="877"/>
      <c r="B440" s="878"/>
      <c r="C440" s="878"/>
      <c r="D440" s="1192"/>
      <c r="E440" s="881" t="str">
        <f>E302</f>
        <v>無し</v>
      </c>
      <c r="F440" s="2635" t="s">
        <v>2672</v>
      </c>
      <c r="G440" s="2636"/>
      <c r="H440" s="1077"/>
      <c r="I440" s="1077"/>
      <c r="J440" s="1077"/>
      <c r="K440" s="1077"/>
      <c r="L440" s="1077"/>
      <c r="M440" s="1077"/>
      <c r="N440" s="1078"/>
    </row>
    <row r="441" spans="1:14" s="896" customFormat="1" ht="14">
      <c r="A441" s="2637" t="s">
        <v>2673</v>
      </c>
      <c r="B441" s="2638"/>
      <c r="C441" s="2639"/>
      <c r="D441" s="1193"/>
      <c r="E441" s="1194" t="str">
        <f>+E303</f>
        <v>有り</v>
      </c>
      <c r="F441" s="2640" t="s">
        <v>2674</v>
      </c>
      <c r="G441" s="2641"/>
      <c r="H441" s="1073"/>
      <c r="I441" s="1073"/>
      <c r="J441" s="1073"/>
      <c r="K441" s="1073"/>
      <c r="L441" s="1073"/>
      <c r="M441" s="1073"/>
      <c r="N441" s="1074"/>
    </row>
    <row r="442" spans="1:14" s="896" customFormat="1" ht="14">
      <c r="A442" s="2642"/>
      <c r="B442" s="1195" t="s">
        <v>161</v>
      </c>
      <c r="C442" s="1196" t="s">
        <v>2675</v>
      </c>
      <c r="D442" s="1197">
        <v>1</v>
      </c>
      <c r="E442" s="1198">
        <f>+G511/100</f>
        <v>0.1215</v>
      </c>
      <c r="F442" s="907">
        <f>SUM(G442:N442)</f>
        <v>200634358</v>
      </c>
      <c r="G442" s="1077">
        <f t="shared" ref="G442:N442" si="252">+G437-G447</f>
        <v>41672773</v>
      </c>
      <c r="H442" s="1077">
        <f t="shared" si="252"/>
        <v>24573943</v>
      </c>
      <c r="I442" s="1077">
        <f>+I437-I447</f>
        <v>2351865</v>
      </c>
      <c r="J442" s="1077">
        <f t="shared" si="252"/>
        <v>120649939</v>
      </c>
      <c r="K442" s="1077">
        <f t="shared" si="252"/>
        <v>11385838</v>
      </c>
      <c r="L442" s="1077">
        <f t="shared" si="252"/>
        <v>0</v>
      </c>
      <c r="M442" s="1077">
        <f t="shared" si="252"/>
        <v>0</v>
      </c>
      <c r="N442" s="1078">
        <f t="shared" si="252"/>
        <v>0</v>
      </c>
    </row>
    <row r="443" spans="1:14" s="896" customFormat="1" ht="14">
      <c r="A443" s="2602"/>
      <c r="B443" s="2607" t="s">
        <v>2676</v>
      </c>
      <c r="C443" s="910" t="s">
        <v>2677</v>
      </c>
      <c r="D443" s="1138">
        <v>0.05</v>
      </c>
      <c r="E443" s="1113">
        <f>IF(OR(G299="無し",G299="なし"),IF(E440="無し",E442,0),0)</f>
        <v>0.1215</v>
      </c>
      <c r="F443" s="911">
        <f>SUM(G443:N443)</f>
        <v>200634358</v>
      </c>
      <c r="G443" s="912">
        <f>IF(G460=0,+G442,0)</f>
        <v>41672773</v>
      </c>
      <c r="H443" s="912">
        <f>IF(H460=0,+H442,0)</f>
        <v>24573943</v>
      </c>
      <c r="I443" s="912">
        <f t="shared" ref="I443:N443" si="253">IF(I460=0,+I442,0)</f>
        <v>2351865</v>
      </c>
      <c r="J443" s="912">
        <f t="shared" si="253"/>
        <v>120649939</v>
      </c>
      <c r="K443" s="912">
        <f t="shared" si="253"/>
        <v>11385838</v>
      </c>
      <c r="L443" s="912">
        <f t="shared" si="253"/>
        <v>0</v>
      </c>
      <c r="M443" s="912">
        <f t="shared" si="253"/>
        <v>0</v>
      </c>
      <c r="N443" s="913">
        <f t="shared" si="253"/>
        <v>0</v>
      </c>
    </row>
    <row r="444" spans="1:14" s="896" customFormat="1" ht="14">
      <c r="A444" s="2602"/>
      <c r="B444" s="2606"/>
      <c r="C444" s="910" t="s">
        <v>2678</v>
      </c>
      <c r="D444" s="1199">
        <v>1</v>
      </c>
      <c r="E444" s="1113">
        <f>IF(OR(E441="無し",E441="なし"),0,0.0004)</f>
        <v>4.0000000000000002E-4</v>
      </c>
      <c r="F444" s="911">
        <f>SUM(G444:N444)</f>
        <v>200634358</v>
      </c>
      <c r="G444" s="912">
        <f>IF(G460=0,+G442,0)</f>
        <v>41672773</v>
      </c>
      <c r="H444" s="912">
        <f t="shared" ref="H444:N444" si="254">IF(H460=0,+H442,0)</f>
        <v>24573943</v>
      </c>
      <c r="I444" s="912">
        <f t="shared" si="254"/>
        <v>2351865</v>
      </c>
      <c r="J444" s="912">
        <f t="shared" si="254"/>
        <v>120649939</v>
      </c>
      <c r="K444" s="912">
        <f t="shared" si="254"/>
        <v>11385838</v>
      </c>
      <c r="L444" s="912">
        <f t="shared" si="254"/>
        <v>0</v>
      </c>
      <c r="M444" s="912">
        <f t="shared" si="254"/>
        <v>0</v>
      </c>
      <c r="N444" s="913">
        <f t="shared" si="254"/>
        <v>0</v>
      </c>
    </row>
    <row r="445" spans="1:14" s="896" customFormat="1" ht="14">
      <c r="A445" s="2602"/>
      <c r="B445" s="1200"/>
      <c r="C445" s="910"/>
      <c r="D445" s="1201"/>
      <c r="E445" s="1201"/>
      <c r="F445" s="911"/>
      <c r="G445" s="912"/>
      <c r="H445" s="912"/>
      <c r="I445" s="912"/>
      <c r="J445" s="912"/>
      <c r="K445" s="912"/>
      <c r="L445" s="912"/>
      <c r="M445" s="912"/>
      <c r="N445" s="913"/>
    </row>
    <row r="446" spans="1:14" s="896" customFormat="1" ht="14">
      <c r="A446" s="2602"/>
      <c r="B446" s="1200"/>
      <c r="C446" s="910"/>
      <c r="D446" s="1201"/>
      <c r="E446" s="1201"/>
      <c r="F446" s="911"/>
      <c r="G446" s="912"/>
      <c r="H446" s="912"/>
      <c r="I446" s="912"/>
      <c r="J446" s="912"/>
      <c r="K446" s="912"/>
      <c r="L446" s="912"/>
      <c r="M446" s="912"/>
      <c r="N446" s="913"/>
    </row>
    <row r="447" spans="1:14" s="896" customFormat="1" ht="14">
      <c r="A447" s="2602"/>
      <c r="B447" s="2607" t="s">
        <v>2679</v>
      </c>
      <c r="C447" s="1110" t="str">
        <f>+C352</f>
        <v>(17)下水道使用料、各種負担金（共通仮設）</v>
      </c>
      <c r="D447" s="1202">
        <v>1</v>
      </c>
      <c r="E447" s="1203">
        <v>0</v>
      </c>
      <c r="F447" s="911">
        <f>SUM(G447:N447)</f>
        <v>0</v>
      </c>
      <c r="G447" s="912">
        <f t="shared" ref="G447:N447" si="255">+G352</f>
        <v>0</v>
      </c>
      <c r="H447" s="912">
        <f t="shared" si="255"/>
        <v>0</v>
      </c>
      <c r="I447" s="912">
        <f t="shared" si="255"/>
        <v>0</v>
      </c>
      <c r="J447" s="912">
        <f t="shared" si="255"/>
        <v>0</v>
      </c>
      <c r="K447" s="912">
        <f t="shared" si="255"/>
        <v>0</v>
      </c>
      <c r="L447" s="912">
        <f t="shared" si="255"/>
        <v>0</v>
      </c>
      <c r="M447" s="912">
        <f t="shared" si="255"/>
        <v>0</v>
      </c>
      <c r="N447" s="913">
        <f t="shared" si="255"/>
        <v>0</v>
      </c>
    </row>
    <row r="448" spans="1:14" s="896" customFormat="1" ht="14">
      <c r="A448" s="2602"/>
      <c r="B448" s="2605"/>
      <c r="C448" s="1204"/>
      <c r="D448" s="1110"/>
      <c r="E448" s="1203"/>
      <c r="F448" s="911"/>
      <c r="G448" s="912"/>
      <c r="H448" s="912"/>
      <c r="I448" s="912"/>
      <c r="J448" s="912"/>
      <c r="K448" s="912"/>
      <c r="L448" s="912"/>
      <c r="M448" s="912"/>
      <c r="N448" s="913"/>
    </row>
    <row r="449" spans="1:14" s="896" customFormat="1" ht="14">
      <c r="A449" s="2603"/>
      <c r="B449" s="2608"/>
      <c r="C449" s="1205"/>
      <c r="D449" s="1154"/>
      <c r="E449" s="1206"/>
      <c r="F449" s="946"/>
      <c r="G449" s="1073"/>
      <c r="H449" s="1073"/>
      <c r="I449" s="1073"/>
      <c r="J449" s="1073"/>
      <c r="K449" s="1073"/>
      <c r="L449" s="1073"/>
      <c r="M449" s="1073"/>
      <c r="N449" s="1074"/>
    </row>
    <row r="450" spans="1:14" s="896" customFormat="1" ht="14">
      <c r="A450" s="877"/>
      <c r="B450" s="878"/>
      <c r="C450" s="1207"/>
      <c r="D450" s="1208"/>
      <c r="E450" s="1209"/>
      <c r="F450" s="907"/>
      <c r="G450" s="1077"/>
      <c r="H450" s="1077"/>
      <c r="I450" s="1077"/>
      <c r="J450" s="1077"/>
      <c r="K450" s="1077"/>
      <c r="L450" s="1077"/>
      <c r="M450" s="1077"/>
      <c r="N450" s="1078"/>
    </row>
    <row r="451" spans="1:14" s="896" customFormat="1" ht="14">
      <c r="A451" s="2637" t="s">
        <v>2680</v>
      </c>
      <c r="B451" s="2638"/>
      <c r="C451" s="2639"/>
      <c r="D451" s="1210"/>
      <c r="E451" s="1211"/>
      <c r="F451" s="1212"/>
      <c r="G451" s="1073"/>
      <c r="H451" s="1073"/>
      <c r="I451" s="1073"/>
      <c r="J451" s="1073"/>
      <c r="K451" s="1073"/>
      <c r="L451" s="1073"/>
      <c r="M451" s="1073"/>
      <c r="N451" s="1074"/>
    </row>
    <row r="452" spans="1:14" s="896" customFormat="1" ht="14">
      <c r="A452" s="1294"/>
      <c r="B452" s="1213" t="s">
        <v>161</v>
      </c>
      <c r="C452" s="1196" t="s">
        <v>2675</v>
      </c>
      <c r="D452" s="1197">
        <f t="shared" ref="D452:E454" si="256">+D442</f>
        <v>1</v>
      </c>
      <c r="E452" s="1214">
        <f>+E442</f>
        <v>0.1215</v>
      </c>
      <c r="F452" s="911">
        <f>INT(D452*E452*F442)</f>
        <v>24377074</v>
      </c>
      <c r="G452" s="1077">
        <f>F452-SUM(H452:N452)</f>
        <v>5063242</v>
      </c>
      <c r="H452" s="1077">
        <f>IF(H442=0,0,ROUND($F452/$F442*H442,0))</f>
        <v>2985734</v>
      </c>
      <c r="I452" s="1077">
        <f t="shared" ref="I452:N452" si="257">IF(I442=0,0,ROUND($F452/$F442*I442,0))</f>
        <v>285752</v>
      </c>
      <c r="J452" s="1077">
        <f t="shared" si="257"/>
        <v>14658967</v>
      </c>
      <c r="K452" s="1077">
        <f t="shared" si="257"/>
        <v>1383379</v>
      </c>
      <c r="L452" s="1077">
        <f t="shared" si="257"/>
        <v>0</v>
      </c>
      <c r="M452" s="1077">
        <f t="shared" si="257"/>
        <v>0</v>
      </c>
      <c r="N452" s="1078">
        <f t="shared" si="257"/>
        <v>0</v>
      </c>
    </row>
    <row r="453" spans="1:14" s="896" customFormat="1" ht="14">
      <c r="A453" s="1294"/>
      <c r="B453" s="2607" t="s">
        <v>2676</v>
      </c>
      <c r="C453" s="910" t="s">
        <v>2677</v>
      </c>
      <c r="D453" s="1202">
        <f t="shared" si="256"/>
        <v>0.05</v>
      </c>
      <c r="E453" s="1113">
        <f t="shared" si="256"/>
        <v>0.1215</v>
      </c>
      <c r="F453" s="911">
        <f>INT(D453*E453*F443)</f>
        <v>1218853</v>
      </c>
      <c r="G453" s="912">
        <f>F453-SUM(H453:N453)</f>
        <v>253161</v>
      </c>
      <c r="H453" s="912">
        <f t="shared" ref="H453:N454" si="258">IF(H443=0,0,ROUND($F453/$F443*H443,0))</f>
        <v>149287</v>
      </c>
      <c r="I453" s="912">
        <f t="shared" si="258"/>
        <v>14288</v>
      </c>
      <c r="J453" s="912">
        <f t="shared" si="258"/>
        <v>732948</v>
      </c>
      <c r="K453" s="912">
        <f t="shared" si="258"/>
        <v>69169</v>
      </c>
      <c r="L453" s="912">
        <f t="shared" si="258"/>
        <v>0</v>
      </c>
      <c r="M453" s="912">
        <f t="shared" si="258"/>
        <v>0</v>
      </c>
      <c r="N453" s="913">
        <f t="shared" si="258"/>
        <v>0</v>
      </c>
    </row>
    <row r="454" spans="1:14" s="896" customFormat="1" ht="14">
      <c r="A454" s="1294"/>
      <c r="B454" s="2606"/>
      <c r="C454" s="910" t="s">
        <v>2678</v>
      </c>
      <c r="D454" s="1202">
        <f t="shared" si="256"/>
        <v>1</v>
      </c>
      <c r="E454" s="1113">
        <f t="shared" si="256"/>
        <v>4.0000000000000002E-4</v>
      </c>
      <c r="F454" s="911">
        <f>INT(D454*E454*F444)</f>
        <v>80253</v>
      </c>
      <c r="G454" s="912">
        <f>F454-SUM(H454:N454)</f>
        <v>16669</v>
      </c>
      <c r="H454" s="912">
        <f>IF(H444=0,0,ROUND($F454/$F444*H444,0))</f>
        <v>9829</v>
      </c>
      <c r="I454" s="912">
        <f t="shared" si="258"/>
        <v>941</v>
      </c>
      <c r="J454" s="912">
        <f t="shared" si="258"/>
        <v>48260</v>
      </c>
      <c r="K454" s="912">
        <f t="shared" si="258"/>
        <v>4554</v>
      </c>
      <c r="L454" s="912">
        <f t="shared" si="258"/>
        <v>0</v>
      </c>
      <c r="M454" s="912">
        <f t="shared" si="258"/>
        <v>0</v>
      </c>
      <c r="N454" s="913">
        <f t="shared" si="258"/>
        <v>0</v>
      </c>
    </row>
    <row r="455" spans="1:14" s="896" customFormat="1" ht="14">
      <c r="A455" s="1294"/>
      <c r="B455" s="1200"/>
      <c r="C455" s="910"/>
      <c r="D455" s="1201"/>
      <c r="E455" s="1201"/>
      <c r="F455" s="911"/>
      <c r="G455" s="912"/>
      <c r="H455" s="912"/>
      <c r="I455" s="912"/>
      <c r="J455" s="912"/>
      <c r="K455" s="912"/>
      <c r="L455" s="912"/>
      <c r="M455" s="912"/>
      <c r="N455" s="913"/>
    </row>
    <row r="456" spans="1:14" s="896" customFormat="1" ht="14">
      <c r="A456" s="1294"/>
      <c r="B456" s="1200"/>
      <c r="C456" s="910"/>
      <c r="D456" s="1201"/>
      <c r="E456" s="1201"/>
      <c r="F456" s="911"/>
      <c r="G456" s="912"/>
      <c r="H456" s="912"/>
      <c r="I456" s="912"/>
      <c r="J456" s="912"/>
      <c r="K456" s="912"/>
      <c r="L456" s="912"/>
      <c r="M456" s="912"/>
      <c r="N456" s="913"/>
    </row>
    <row r="457" spans="1:14" s="896" customFormat="1" ht="14">
      <c r="A457" s="1294"/>
      <c r="B457" s="2607" t="s">
        <v>2679</v>
      </c>
      <c r="C457" s="1110" t="str">
        <f>+C352</f>
        <v>(17)下水道使用料、各種負担金（共通仮設）</v>
      </c>
      <c r="D457" s="1202">
        <f>+D447</f>
        <v>1</v>
      </c>
      <c r="E457" s="1113">
        <f>+E447</f>
        <v>0</v>
      </c>
      <c r="F457" s="911">
        <f>INT(D457*E457*F447)</f>
        <v>0</v>
      </c>
      <c r="G457" s="912">
        <f>F457-SUM(H457:N457)</f>
        <v>0</v>
      </c>
      <c r="H457" s="912">
        <f t="shared" ref="H457:N457" si="259">IF(H447=0,0,ROUND($F457/$F447*H447,0))</f>
        <v>0</v>
      </c>
      <c r="I457" s="912">
        <f t="shared" si="259"/>
        <v>0</v>
      </c>
      <c r="J457" s="912">
        <f t="shared" si="259"/>
        <v>0</v>
      </c>
      <c r="K457" s="912">
        <f t="shared" si="259"/>
        <v>0</v>
      </c>
      <c r="L457" s="912">
        <f t="shared" si="259"/>
        <v>0</v>
      </c>
      <c r="M457" s="912">
        <f t="shared" si="259"/>
        <v>0</v>
      </c>
      <c r="N457" s="913">
        <f t="shared" si="259"/>
        <v>0</v>
      </c>
    </row>
    <row r="458" spans="1:14" s="896" customFormat="1" ht="14">
      <c r="A458" s="1294"/>
      <c r="B458" s="2605"/>
      <c r="C458" s="1204"/>
      <c r="D458" s="1110"/>
      <c r="E458" s="1201">
        <f>+G449</f>
        <v>0</v>
      </c>
      <c r="F458" s="911"/>
      <c r="G458" s="912"/>
      <c r="H458" s="912"/>
      <c r="I458" s="912"/>
      <c r="J458" s="912"/>
      <c r="K458" s="912"/>
      <c r="L458" s="912"/>
      <c r="M458" s="912"/>
      <c r="N458" s="913"/>
    </row>
    <row r="459" spans="1:14" s="896" customFormat="1" ht="14">
      <c r="A459" s="1215"/>
      <c r="B459" s="2606"/>
      <c r="C459" s="1204"/>
      <c r="D459" s="1110"/>
      <c r="E459" s="1201">
        <f>+G450</f>
        <v>0</v>
      </c>
      <c r="F459" s="911"/>
      <c r="G459" s="912"/>
      <c r="H459" s="912"/>
      <c r="I459" s="912"/>
      <c r="J459" s="912"/>
      <c r="K459" s="912"/>
      <c r="L459" s="912"/>
      <c r="M459" s="912"/>
      <c r="N459" s="913"/>
    </row>
    <row r="460" spans="1:14" s="896" customFormat="1" ht="14">
      <c r="A460" s="1215"/>
      <c r="B460" s="2643" t="s">
        <v>2662</v>
      </c>
      <c r="C460" s="1129" t="s">
        <v>2681</v>
      </c>
      <c r="D460" s="1216"/>
      <c r="E460" s="1217"/>
      <c r="F460" s="1218">
        <f>SUM(G460:N460)</f>
        <v>0</v>
      </c>
      <c r="G460" s="1317">
        <f t="shared" ref="G460:N460" si="260">+G245+G68</f>
        <v>0</v>
      </c>
      <c r="H460" s="1317">
        <f t="shared" si="260"/>
        <v>0</v>
      </c>
      <c r="I460" s="1317">
        <f t="shared" si="260"/>
        <v>0</v>
      </c>
      <c r="J460" s="1317">
        <f t="shared" si="260"/>
        <v>0</v>
      </c>
      <c r="K460" s="1317">
        <f t="shared" si="260"/>
        <v>0</v>
      </c>
      <c r="L460" s="1317">
        <f t="shared" si="260"/>
        <v>0</v>
      </c>
      <c r="M460" s="1317">
        <f t="shared" si="260"/>
        <v>0</v>
      </c>
      <c r="N460" s="1318">
        <f t="shared" si="260"/>
        <v>0</v>
      </c>
    </row>
    <row r="461" spans="1:14" s="896" customFormat="1" ht="14">
      <c r="A461" s="1294"/>
      <c r="B461" s="2659"/>
      <c r="C461" s="1221" t="s">
        <v>2682</v>
      </c>
      <c r="D461" s="1156"/>
      <c r="E461" s="1157"/>
      <c r="F461" s="1064"/>
      <c r="G461" s="912"/>
      <c r="H461" s="912"/>
      <c r="I461" s="912"/>
      <c r="J461" s="912"/>
      <c r="K461" s="912"/>
      <c r="L461" s="912"/>
      <c r="M461" s="912"/>
      <c r="N461" s="913"/>
    </row>
    <row r="462" spans="1:14" s="896" customFormat="1" ht="14">
      <c r="A462" s="1180"/>
      <c r="B462" s="1181"/>
      <c r="C462" s="1181"/>
      <c r="D462" s="882"/>
      <c r="E462" s="882"/>
      <c r="F462" s="907"/>
      <c r="G462" s="1077"/>
      <c r="H462" s="1077"/>
      <c r="I462" s="1077"/>
      <c r="J462" s="1077"/>
      <c r="K462" s="1077"/>
      <c r="L462" s="1077"/>
      <c r="M462" s="1077"/>
      <c r="N462" s="1078"/>
    </row>
    <row r="463" spans="1:14" s="896" customFormat="1" ht="14">
      <c r="A463" s="1222"/>
      <c r="B463" s="1082"/>
      <c r="C463" s="701" t="s">
        <v>2684</v>
      </c>
      <c r="D463" s="1204"/>
      <c r="E463" s="910"/>
      <c r="F463" s="911">
        <f>SUM(G463:N463)</f>
        <v>25676180</v>
      </c>
      <c r="G463" s="912">
        <f>SUM(G452:G461)</f>
        <v>5333072</v>
      </c>
      <c r="H463" s="912">
        <f t="shared" ref="H463:N463" si="261">SUM(H452:H461)</f>
        <v>3144850</v>
      </c>
      <c r="I463" s="912">
        <f t="shared" si="261"/>
        <v>300981</v>
      </c>
      <c r="J463" s="912">
        <f t="shared" si="261"/>
        <v>15440175</v>
      </c>
      <c r="K463" s="912">
        <f t="shared" si="261"/>
        <v>1457102</v>
      </c>
      <c r="L463" s="912">
        <f t="shared" si="261"/>
        <v>0</v>
      </c>
      <c r="M463" s="912">
        <f t="shared" si="261"/>
        <v>0</v>
      </c>
      <c r="N463" s="913">
        <f t="shared" si="261"/>
        <v>0</v>
      </c>
    </row>
    <row r="464" spans="1:14" s="896" customFormat="1" ht="14">
      <c r="A464" s="1222"/>
      <c r="B464" s="1082"/>
      <c r="C464" s="701" t="s">
        <v>2665</v>
      </c>
      <c r="D464" s="1204"/>
      <c r="E464" s="910"/>
      <c r="F464" s="911">
        <f>SUM(G464:N464)</f>
        <v>200634358</v>
      </c>
      <c r="G464" s="912">
        <f t="shared" ref="G464:N464" si="262">+G432</f>
        <v>41672773</v>
      </c>
      <c r="H464" s="912">
        <f t="shared" si="262"/>
        <v>24573943</v>
      </c>
      <c r="I464" s="912">
        <f t="shared" si="262"/>
        <v>2351865</v>
      </c>
      <c r="J464" s="912">
        <f t="shared" si="262"/>
        <v>120649939</v>
      </c>
      <c r="K464" s="912">
        <f t="shared" si="262"/>
        <v>11385838</v>
      </c>
      <c r="L464" s="912">
        <f t="shared" si="262"/>
        <v>0</v>
      </c>
      <c r="M464" s="912">
        <f t="shared" si="262"/>
        <v>0</v>
      </c>
      <c r="N464" s="913">
        <f t="shared" si="262"/>
        <v>0</v>
      </c>
    </row>
    <row r="465" spans="1:14" s="896" customFormat="1" ht="15" thickBot="1">
      <c r="A465" s="1223"/>
      <c r="B465" s="1224"/>
      <c r="C465" s="1225" t="s">
        <v>2685</v>
      </c>
      <c r="D465" s="1226"/>
      <c r="E465" s="1227"/>
      <c r="F465" s="1144">
        <f>SUM(G465:N465)</f>
        <v>226310538</v>
      </c>
      <c r="G465" s="1228">
        <f t="shared" ref="G465:N465" si="263">SUM(G463:G464)</f>
        <v>47005845</v>
      </c>
      <c r="H465" s="1228">
        <f t="shared" si="263"/>
        <v>27718793</v>
      </c>
      <c r="I465" s="1228">
        <f t="shared" si="263"/>
        <v>2652846</v>
      </c>
      <c r="J465" s="1228">
        <f t="shared" si="263"/>
        <v>136090114</v>
      </c>
      <c r="K465" s="1228">
        <f t="shared" si="263"/>
        <v>12842940</v>
      </c>
      <c r="L465" s="1228">
        <f t="shared" si="263"/>
        <v>0</v>
      </c>
      <c r="M465" s="1228">
        <f t="shared" si="263"/>
        <v>0</v>
      </c>
      <c r="N465" s="1229">
        <f t="shared" si="263"/>
        <v>0</v>
      </c>
    </row>
    <row r="466" spans="1:14" s="896" customFormat="1" ht="15" thickTop="1">
      <c r="A466" s="1294"/>
      <c r="B466" s="1295"/>
      <c r="C466" s="1295"/>
      <c r="D466" s="925"/>
      <c r="E466" s="925"/>
      <c r="F466" s="926"/>
      <c r="G466" s="1230">
        <f t="shared" ref="G466:N466" si="264">ROUNDDOWN(G465,-3)</f>
        <v>47005000</v>
      </c>
      <c r="H466" s="1230">
        <f t="shared" si="264"/>
        <v>27718000</v>
      </c>
      <c r="I466" s="1230">
        <f t="shared" si="264"/>
        <v>2652000</v>
      </c>
      <c r="J466" s="1230">
        <f t="shared" si="264"/>
        <v>136090000</v>
      </c>
      <c r="K466" s="1230">
        <f t="shared" si="264"/>
        <v>12842000</v>
      </c>
      <c r="L466" s="1230">
        <f t="shared" si="264"/>
        <v>0</v>
      </c>
      <c r="M466" s="1230">
        <f t="shared" si="264"/>
        <v>0</v>
      </c>
      <c r="N466" s="1231">
        <f t="shared" si="264"/>
        <v>0</v>
      </c>
    </row>
    <row r="467" spans="1:14" s="896" customFormat="1" ht="14">
      <c r="A467" s="1222"/>
      <c r="B467" s="1082"/>
      <c r="C467" s="701" t="s">
        <v>2665</v>
      </c>
      <c r="D467" s="1204"/>
      <c r="E467" s="910"/>
      <c r="F467" s="911">
        <f>SUM(G467:N467)</f>
        <v>200634358</v>
      </c>
      <c r="G467" s="912">
        <f>+G464</f>
        <v>41672773</v>
      </c>
      <c r="H467" s="912">
        <f t="shared" ref="H467:N467" si="265">+H464</f>
        <v>24573943</v>
      </c>
      <c r="I467" s="912">
        <f t="shared" si="265"/>
        <v>2351865</v>
      </c>
      <c r="J467" s="912">
        <f t="shared" si="265"/>
        <v>120649939</v>
      </c>
      <c r="K467" s="912">
        <f t="shared" si="265"/>
        <v>11385838</v>
      </c>
      <c r="L467" s="912">
        <f t="shared" si="265"/>
        <v>0</v>
      </c>
      <c r="M467" s="912">
        <f t="shared" si="265"/>
        <v>0</v>
      </c>
      <c r="N467" s="913">
        <f t="shared" si="265"/>
        <v>0</v>
      </c>
    </row>
    <row r="468" spans="1:14" s="896" customFormat="1" ht="14">
      <c r="A468" s="1222"/>
      <c r="B468" s="1082"/>
      <c r="C468" s="701" t="s">
        <v>2686</v>
      </c>
      <c r="D468" s="1204"/>
      <c r="E468" s="1201"/>
      <c r="F468" s="911">
        <f>SUM(G468:N468)</f>
        <v>25665642</v>
      </c>
      <c r="G468" s="912">
        <f>+G463-(G465-G470)</f>
        <v>5330227</v>
      </c>
      <c r="H468" s="912">
        <f t="shared" ref="H468:N468" si="266">+H463-(H465-H470)</f>
        <v>3143057</v>
      </c>
      <c r="I468" s="912">
        <f t="shared" si="266"/>
        <v>300135</v>
      </c>
      <c r="J468" s="912">
        <f t="shared" si="266"/>
        <v>15436061</v>
      </c>
      <c r="K468" s="912">
        <f t="shared" si="266"/>
        <v>1456162</v>
      </c>
      <c r="L468" s="912">
        <f t="shared" si="266"/>
        <v>0</v>
      </c>
      <c r="M468" s="912">
        <f t="shared" si="266"/>
        <v>0</v>
      </c>
      <c r="N468" s="913">
        <f t="shared" si="266"/>
        <v>0</v>
      </c>
    </row>
    <row r="469" spans="1:14" s="896" customFormat="1" ht="14">
      <c r="A469" s="1222"/>
      <c r="B469" s="1082"/>
      <c r="C469" s="1082"/>
      <c r="D469" s="910"/>
      <c r="E469" s="1232">
        <f>SUM(G466:N466)</f>
        <v>226307000</v>
      </c>
      <c r="F469" s="911" t="s">
        <v>2687</v>
      </c>
      <c r="G469" s="912">
        <f t="shared" ref="G469:N469" si="267">+G463-G468</f>
        <v>2845</v>
      </c>
      <c r="H469" s="912">
        <f t="shared" si="267"/>
        <v>1793</v>
      </c>
      <c r="I469" s="912">
        <f t="shared" si="267"/>
        <v>846</v>
      </c>
      <c r="J469" s="912">
        <f t="shared" si="267"/>
        <v>4114</v>
      </c>
      <c r="K469" s="912">
        <f t="shared" si="267"/>
        <v>940</v>
      </c>
      <c r="L469" s="912">
        <f t="shared" si="267"/>
        <v>0</v>
      </c>
      <c r="M469" s="1233">
        <f t="shared" si="267"/>
        <v>0</v>
      </c>
      <c r="N469" s="1234">
        <f t="shared" si="267"/>
        <v>0</v>
      </c>
    </row>
    <row r="470" spans="1:14" s="896" customFormat="1" ht="14">
      <c r="A470" s="1235"/>
      <c r="B470" s="1063"/>
      <c r="C470" s="1063" t="s">
        <v>2688</v>
      </c>
      <c r="D470" s="1236"/>
      <c r="E470" s="1232">
        <f>ROUNDDOWN(E469,4-LEN(E469))</f>
        <v>226300000</v>
      </c>
      <c r="F470" s="1237">
        <f>+E470</f>
        <v>226300000</v>
      </c>
      <c r="G470" s="1233">
        <f>IF(F471+SUM(H470:N470)=F470,F471,F470-SUM(H470:N470))</f>
        <v>47003000</v>
      </c>
      <c r="H470" s="1233">
        <f>IF(H460=0,+H466-ROUND($E$471*H465/$F$465,-3),H465)</f>
        <v>27717000</v>
      </c>
      <c r="I470" s="1233">
        <f t="shared" ref="I470:N470" si="268">IF(I460=0,+I466-ROUND($E$471*I465/$F$465,-3),I465)</f>
        <v>2652000</v>
      </c>
      <c r="J470" s="1233">
        <f t="shared" si="268"/>
        <v>136086000</v>
      </c>
      <c r="K470" s="1233">
        <f t="shared" si="268"/>
        <v>12842000</v>
      </c>
      <c r="L470" s="1233">
        <f t="shared" si="268"/>
        <v>0</v>
      </c>
      <c r="M470" s="1233">
        <f t="shared" si="268"/>
        <v>0</v>
      </c>
      <c r="N470" s="1234">
        <f t="shared" si="268"/>
        <v>0</v>
      </c>
    </row>
    <row r="471" spans="1:14" s="896" customFormat="1" ht="14">
      <c r="A471" s="1238"/>
      <c r="B471" s="1239"/>
      <c r="C471" s="1239"/>
      <c r="D471" s="1240"/>
      <c r="E471" s="1241">
        <f>E469-E470</f>
        <v>7000</v>
      </c>
      <c r="F471" s="1242">
        <f>+G466-ROUND($E$471*G465/$F$465,-3)</f>
        <v>47004000</v>
      </c>
      <c r="G471" s="1241">
        <f t="shared" ref="G471:N471" si="269">IF(LEN(G465)&lt;=7,-3,IF(LEN(G465)=8,-4,IF(LEN(G465)&gt;=9,-5,-6)))</f>
        <v>-4</v>
      </c>
      <c r="H471" s="1241">
        <f t="shared" si="269"/>
        <v>-4</v>
      </c>
      <c r="I471" s="1241">
        <f t="shared" si="269"/>
        <v>-3</v>
      </c>
      <c r="J471" s="1241">
        <f t="shared" si="269"/>
        <v>-5</v>
      </c>
      <c r="K471" s="1241">
        <f t="shared" si="269"/>
        <v>-4</v>
      </c>
      <c r="L471" s="1241">
        <f t="shared" si="269"/>
        <v>-3</v>
      </c>
      <c r="M471" s="1241">
        <f t="shared" si="269"/>
        <v>-3</v>
      </c>
      <c r="N471" s="1243">
        <f t="shared" si="269"/>
        <v>-3</v>
      </c>
    </row>
    <row r="472" spans="1:14" ht="15" thickBot="1">
      <c r="F472" s="1319"/>
      <c r="G472" s="1320"/>
    </row>
    <row r="473" spans="1:14" ht="14">
      <c r="A473" s="1321"/>
      <c r="B473" s="1322"/>
      <c r="C473" s="1323" t="s">
        <v>2689</v>
      </c>
      <c r="D473" s="1324"/>
      <c r="E473" s="1322"/>
      <c r="F473" s="1325" t="s">
        <v>2690</v>
      </c>
      <c r="G473" s="1252">
        <f t="shared" ref="G473:N473" si="270">+G300</f>
        <v>16.600000000000001</v>
      </c>
      <c r="H473" s="1252">
        <f t="shared" si="270"/>
        <v>11</v>
      </c>
      <c r="I473" s="1252">
        <f t="shared" si="270"/>
        <v>16.600000000000001</v>
      </c>
      <c r="J473" s="1252">
        <f t="shared" si="270"/>
        <v>16.600000000000001</v>
      </c>
      <c r="K473" s="1252">
        <f t="shared" si="270"/>
        <v>16.600000000000001</v>
      </c>
      <c r="L473" s="1252">
        <f t="shared" si="270"/>
        <v>0</v>
      </c>
      <c r="M473" s="1252">
        <f t="shared" si="270"/>
        <v>0</v>
      </c>
      <c r="N473" s="1253">
        <f t="shared" si="270"/>
        <v>0</v>
      </c>
    </row>
    <row r="474" spans="1:14" s="896" customFormat="1" ht="14">
      <c r="A474" s="2651"/>
      <c r="B474" s="2654" t="s">
        <v>2691</v>
      </c>
      <c r="C474" s="1254" t="s">
        <v>2692</v>
      </c>
      <c r="D474" s="1063"/>
      <c r="E474" s="1255"/>
      <c r="F474" s="1256" t="s">
        <v>2693</v>
      </c>
      <c r="G474" s="1257">
        <f>IF($F357&lt;=10000000,ROUND(7.56*(10000^-0.1105)*(G473^0.2389),2),ROUND(7.56*(($F357/1000)^-0.1105)*(G473^0.2389),2))</f>
        <v>3.91</v>
      </c>
      <c r="H474" s="1257">
        <f t="shared" ref="H474:N474" si="271">IF($F357&lt;=10000000,ROUND(7.56*(10000^-0.1105)*(H473^0.2389),2),ROUND(7.56*(($F357/1000)^-0.1105)*(H473^0.2389),2))</f>
        <v>3.54</v>
      </c>
      <c r="I474" s="1257">
        <f t="shared" si="271"/>
        <v>3.91</v>
      </c>
      <c r="J474" s="1257">
        <f t="shared" si="271"/>
        <v>3.91</v>
      </c>
      <c r="K474" s="1257">
        <f t="shared" si="271"/>
        <v>3.91</v>
      </c>
      <c r="L474" s="1257">
        <f t="shared" si="271"/>
        <v>0</v>
      </c>
      <c r="M474" s="1257">
        <f t="shared" si="271"/>
        <v>0</v>
      </c>
      <c r="N474" s="1326">
        <f t="shared" si="271"/>
        <v>0</v>
      </c>
    </row>
    <row r="475" spans="1:14" s="896" customFormat="1" ht="14">
      <c r="A475" s="2652"/>
      <c r="B475" s="2655"/>
      <c r="C475" s="2657" t="s">
        <v>2694</v>
      </c>
      <c r="D475" s="1133"/>
      <c r="E475" s="1258"/>
      <c r="F475" s="1256" t="s">
        <v>2695</v>
      </c>
      <c r="G475" s="1259">
        <f>IF($F357&lt;=10000000,ROUND(4.33,2),0)</f>
        <v>0</v>
      </c>
      <c r="H475" s="1259">
        <f t="shared" ref="H475:N475" si="272">IF($F357&lt;=10000000,ROUND(4.33,2),0)</f>
        <v>0</v>
      </c>
      <c r="I475" s="1259">
        <f t="shared" si="272"/>
        <v>0</v>
      </c>
      <c r="J475" s="1259">
        <f t="shared" si="272"/>
        <v>0</v>
      </c>
      <c r="K475" s="1259">
        <f t="shared" si="272"/>
        <v>0</v>
      </c>
      <c r="L475" s="1259">
        <f t="shared" si="272"/>
        <v>0</v>
      </c>
      <c r="M475" s="1259">
        <f t="shared" si="272"/>
        <v>0</v>
      </c>
      <c r="N475" s="1327">
        <f t="shared" si="272"/>
        <v>0</v>
      </c>
    </row>
    <row r="476" spans="1:14" s="896" customFormat="1" ht="13.5" customHeight="1">
      <c r="A476" s="2652"/>
      <c r="B476" s="2655"/>
      <c r="C476" s="2658"/>
      <c r="D476" s="1260"/>
      <c r="E476" s="1261"/>
      <c r="F476" s="1256" t="s">
        <v>2696</v>
      </c>
      <c r="G476" s="1259">
        <f>IF($F357&lt;=10000000,ROUND(3.25,2),0)</f>
        <v>0</v>
      </c>
      <c r="H476" s="1259">
        <f t="shared" ref="H476:N476" si="273">IF($F357&lt;=10000000,ROUND(3.25,2),0)</f>
        <v>0</v>
      </c>
      <c r="I476" s="1259">
        <f t="shared" si="273"/>
        <v>0</v>
      </c>
      <c r="J476" s="1259">
        <f t="shared" si="273"/>
        <v>0</v>
      </c>
      <c r="K476" s="1259">
        <f t="shared" si="273"/>
        <v>0</v>
      </c>
      <c r="L476" s="1259">
        <f t="shared" si="273"/>
        <v>0</v>
      </c>
      <c r="M476" s="1259">
        <f t="shared" si="273"/>
        <v>0</v>
      </c>
      <c r="N476" s="1327">
        <f t="shared" si="273"/>
        <v>0</v>
      </c>
    </row>
    <row r="477" spans="1:14" s="896" customFormat="1" ht="14">
      <c r="A477" s="2652"/>
      <c r="B477" s="2655"/>
      <c r="C477" s="2657" t="s">
        <v>2697</v>
      </c>
      <c r="D477" s="1133"/>
      <c r="E477" s="1258"/>
      <c r="F477" s="1256" t="s">
        <v>2695</v>
      </c>
      <c r="G477" s="1262">
        <f>IF($F357&gt;10000000,ROUND(5.78*($F357/1000)^-0.0313,2),0)</f>
        <v>3.97</v>
      </c>
      <c r="H477" s="1262">
        <f t="shared" ref="H477:N477" si="274">IF($F357&gt;10000000,ROUND(5.78*($F357/1000)^-0.0313,2),0)</f>
        <v>3.97</v>
      </c>
      <c r="I477" s="1262">
        <f t="shared" si="274"/>
        <v>3.97</v>
      </c>
      <c r="J477" s="1262">
        <f t="shared" si="274"/>
        <v>3.97</v>
      </c>
      <c r="K477" s="1262">
        <f t="shared" si="274"/>
        <v>3.97</v>
      </c>
      <c r="L477" s="1262">
        <f t="shared" si="274"/>
        <v>3.97</v>
      </c>
      <c r="M477" s="1262">
        <f t="shared" si="274"/>
        <v>3.97</v>
      </c>
      <c r="N477" s="1328">
        <f t="shared" si="274"/>
        <v>3.97</v>
      </c>
    </row>
    <row r="478" spans="1:14" s="896" customFormat="1" ht="13.5" customHeight="1">
      <c r="A478" s="2653"/>
      <c r="B478" s="2656"/>
      <c r="C478" s="2658"/>
      <c r="D478" s="1260"/>
      <c r="E478" s="1261"/>
      <c r="F478" s="1256" t="s">
        <v>2696</v>
      </c>
      <c r="G478" s="1262">
        <f>IF($F357&gt;10000000,ROUND(4.34*($F357/1000)^-0.0313,2),0)</f>
        <v>2.98</v>
      </c>
      <c r="H478" s="1262">
        <f t="shared" ref="H478:N478" si="275">IF($F357&gt;10000000,ROUND(4.34*($F357/1000)^-0.0313,2),0)</f>
        <v>2.98</v>
      </c>
      <c r="I478" s="1262">
        <f t="shared" si="275"/>
        <v>2.98</v>
      </c>
      <c r="J478" s="1262">
        <f t="shared" si="275"/>
        <v>2.98</v>
      </c>
      <c r="K478" s="1262">
        <f t="shared" si="275"/>
        <v>2.98</v>
      </c>
      <c r="L478" s="1262">
        <f t="shared" si="275"/>
        <v>2.98</v>
      </c>
      <c r="M478" s="1262">
        <f t="shared" si="275"/>
        <v>2.98</v>
      </c>
      <c r="N478" s="1328">
        <f t="shared" si="275"/>
        <v>2.98</v>
      </c>
    </row>
    <row r="479" spans="1:14" s="896" customFormat="1" ht="13.5" customHeight="1">
      <c r="A479" s="2645" t="s">
        <v>2698</v>
      </c>
      <c r="B479" s="2646"/>
      <c r="C479" s="2646"/>
      <c r="D479" s="2646"/>
      <c r="E479" s="2646"/>
      <c r="F479" s="2647"/>
      <c r="G479" s="1262">
        <f>IF($F357&lt;=10000000,IF(G$474&gt;G$475,G$475,IF(G$474&lt;G$476,G$476,G$474)),IF(G$474&gt;G$477,G$477,IF(G$474&lt;G$478,G$478,G$474)))</f>
        <v>3.91</v>
      </c>
      <c r="H479" s="1262">
        <f t="shared" ref="H479:N479" si="276">IF($F357&lt;=10000000,IF(H$474&gt;H$475,H$475,IF(H$474&lt;H$476,H$476,H$474)),IF(H$474&gt;H$477,H$477,IF(H$474&lt;H$478,H$478,H$474)))</f>
        <v>3.54</v>
      </c>
      <c r="I479" s="1262">
        <f t="shared" si="276"/>
        <v>3.91</v>
      </c>
      <c r="J479" s="1262">
        <f t="shared" si="276"/>
        <v>3.91</v>
      </c>
      <c r="K479" s="1262">
        <f t="shared" si="276"/>
        <v>3.91</v>
      </c>
      <c r="L479" s="1262">
        <f t="shared" si="276"/>
        <v>2.98</v>
      </c>
      <c r="M479" s="1262">
        <f t="shared" si="276"/>
        <v>2.98</v>
      </c>
      <c r="N479" s="1328">
        <f t="shared" si="276"/>
        <v>2.98</v>
      </c>
    </row>
    <row r="480" spans="1:14" s="896" customFormat="1" ht="15" thickBot="1">
      <c r="A480" s="2648" t="s">
        <v>2699</v>
      </c>
      <c r="B480" s="2649"/>
      <c r="C480" s="2649"/>
      <c r="D480" s="2649"/>
      <c r="E480" s="2649"/>
      <c r="F480" s="2650"/>
      <c r="G480" s="1268">
        <f>ROUND(G479*IF(AND(G305="駅施設",G306="無し"),0.7,IF(AND(G305="駅施設",G306="有り"),0.7,IF(AND(G305="地上建物",G306="無し"),0.9,IF(AND(G305="地上建物",G306="有り"),1,0)))),2)</f>
        <v>2.74</v>
      </c>
      <c r="H480" s="1268">
        <f t="shared" ref="H480:N480" si="277">ROUND(H479*IF(AND(H305="駅施設",H306="無し"),0.7,IF(AND(H305="駅施設",H306="有り"),0.7,IF(AND(H305="地上建物",H306="無し"),0.9,IF(AND(H305="地上建物",H306="有り"),1,0)))),2)</f>
        <v>2.48</v>
      </c>
      <c r="I480" s="1268">
        <f t="shared" si="277"/>
        <v>2.74</v>
      </c>
      <c r="J480" s="1268">
        <f t="shared" si="277"/>
        <v>2.74</v>
      </c>
      <c r="K480" s="1268">
        <f t="shared" si="277"/>
        <v>2.74</v>
      </c>
      <c r="L480" s="1268">
        <f t="shared" si="277"/>
        <v>2.09</v>
      </c>
      <c r="M480" s="1268">
        <f t="shared" si="277"/>
        <v>2.09</v>
      </c>
      <c r="N480" s="1268">
        <f t="shared" si="277"/>
        <v>2.09</v>
      </c>
    </row>
    <row r="481" spans="1:14" s="896" customFormat="1" ht="15" thickBot="1">
      <c r="G481" s="1264"/>
      <c r="H481" s="1264"/>
      <c r="I481" s="1264"/>
      <c r="J481" s="1264"/>
      <c r="K481" s="1264"/>
      <c r="L481" s="1264"/>
      <c r="M481" s="1264"/>
      <c r="N481" s="1264"/>
    </row>
    <row r="482" spans="1:14" s="896" customFormat="1" ht="14">
      <c r="A482" s="1247"/>
      <c r="B482" s="1248"/>
      <c r="C482" s="1249" t="s">
        <v>2689</v>
      </c>
      <c r="D482" s="1250"/>
      <c r="E482" s="1248"/>
      <c r="F482" s="1251" t="s">
        <v>2690</v>
      </c>
      <c r="G482" s="1252">
        <f t="shared" ref="G482:N482" si="278">+G300</f>
        <v>16.600000000000001</v>
      </c>
      <c r="H482" s="1252">
        <f t="shared" si="278"/>
        <v>11</v>
      </c>
      <c r="I482" s="1252">
        <f t="shared" si="278"/>
        <v>16.600000000000001</v>
      </c>
      <c r="J482" s="1252">
        <f t="shared" si="278"/>
        <v>16.600000000000001</v>
      </c>
      <c r="K482" s="1252">
        <f t="shared" si="278"/>
        <v>16.600000000000001</v>
      </c>
      <c r="L482" s="1252">
        <f t="shared" si="278"/>
        <v>0</v>
      </c>
      <c r="M482" s="1252">
        <f t="shared" si="278"/>
        <v>0</v>
      </c>
      <c r="N482" s="1253">
        <f t="shared" si="278"/>
        <v>0</v>
      </c>
    </row>
    <row r="483" spans="1:14" s="896" customFormat="1" ht="14">
      <c r="A483" s="2651"/>
      <c r="B483" s="2654" t="s">
        <v>2700</v>
      </c>
      <c r="C483" s="1254" t="s">
        <v>2692</v>
      </c>
      <c r="D483" s="1063"/>
      <c r="E483" s="1255"/>
      <c r="F483" s="1256" t="s">
        <v>2701</v>
      </c>
      <c r="G483" s="1257">
        <f>IF($F357&lt;=5000000,ROUND(18.03*(5000^-0.2027)*(G482^0.4017),2),ROUND(18.03*(($F357/1000)^-0.2027)*(G482^0.4017),2))</f>
        <v>4.8600000000000003</v>
      </c>
      <c r="H483" s="1257">
        <f t="shared" ref="H483:N483" si="279">IF($F357&lt;=5000000,ROUND(18.03*(5000^-0.2027)*(H482^0.4017),2),ROUND(18.03*(($F357/1000)^-0.2027)*(H482^0.4017),2))</f>
        <v>4.12</v>
      </c>
      <c r="I483" s="1257">
        <f t="shared" si="279"/>
        <v>4.8600000000000003</v>
      </c>
      <c r="J483" s="1257">
        <f t="shared" si="279"/>
        <v>4.8600000000000003</v>
      </c>
      <c r="K483" s="1257">
        <f t="shared" si="279"/>
        <v>4.8600000000000003</v>
      </c>
      <c r="L483" s="1257">
        <f t="shared" si="279"/>
        <v>0</v>
      </c>
      <c r="M483" s="1257">
        <f t="shared" si="279"/>
        <v>0</v>
      </c>
      <c r="N483" s="1326">
        <f t="shared" si="279"/>
        <v>0</v>
      </c>
    </row>
    <row r="484" spans="1:14" s="896" customFormat="1" ht="14">
      <c r="A484" s="2652"/>
      <c r="B484" s="2655"/>
      <c r="C484" s="2657" t="s">
        <v>2702</v>
      </c>
      <c r="D484" s="1133"/>
      <c r="E484" s="1258"/>
      <c r="F484" s="1256" t="s">
        <v>2695</v>
      </c>
      <c r="G484" s="1259">
        <f>IF($F357&lt;=5000000,ROUND(6.07,2),0)</f>
        <v>0</v>
      </c>
      <c r="H484" s="1259">
        <f t="shared" ref="H484:N484" si="280">IF($F357&lt;=5000000,ROUND(6.07,2),0)</f>
        <v>0</v>
      </c>
      <c r="I484" s="1259">
        <f t="shared" si="280"/>
        <v>0</v>
      </c>
      <c r="J484" s="1259">
        <f t="shared" si="280"/>
        <v>0</v>
      </c>
      <c r="K484" s="1259">
        <f t="shared" si="280"/>
        <v>0</v>
      </c>
      <c r="L484" s="1259">
        <f t="shared" si="280"/>
        <v>0</v>
      </c>
      <c r="M484" s="1259">
        <f t="shared" si="280"/>
        <v>0</v>
      </c>
      <c r="N484" s="1327">
        <f t="shared" si="280"/>
        <v>0</v>
      </c>
    </row>
    <row r="485" spans="1:14" s="896" customFormat="1" ht="13.5" customHeight="1">
      <c r="A485" s="2652"/>
      <c r="B485" s="2655"/>
      <c r="C485" s="2658"/>
      <c r="D485" s="1260"/>
      <c r="E485" s="1261"/>
      <c r="F485" s="1256" t="s">
        <v>2696</v>
      </c>
      <c r="G485" s="1259">
        <f>IF($F357&lt;=5000000,ROUND(3.59,2),0)</f>
        <v>0</v>
      </c>
      <c r="H485" s="1259">
        <f t="shared" ref="H485:N485" si="281">IF($F357&lt;=5000000,ROUND(3.59,2),0)</f>
        <v>0</v>
      </c>
      <c r="I485" s="1259">
        <f t="shared" si="281"/>
        <v>0</v>
      </c>
      <c r="J485" s="1259">
        <f t="shared" si="281"/>
        <v>0</v>
      </c>
      <c r="K485" s="1259">
        <f t="shared" si="281"/>
        <v>0</v>
      </c>
      <c r="L485" s="1259">
        <f t="shared" si="281"/>
        <v>0</v>
      </c>
      <c r="M485" s="1259">
        <f t="shared" si="281"/>
        <v>0</v>
      </c>
      <c r="N485" s="1327">
        <f t="shared" si="281"/>
        <v>0</v>
      </c>
    </row>
    <row r="486" spans="1:14" s="896" customFormat="1" ht="14">
      <c r="A486" s="2652"/>
      <c r="B486" s="2655"/>
      <c r="C486" s="2657" t="s">
        <v>2703</v>
      </c>
      <c r="D486" s="1133"/>
      <c r="E486" s="1258"/>
      <c r="F486" s="1256" t="s">
        <v>2695</v>
      </c>
      <c r="G486" s="1262">
        <f>IF($F357&gt;5000000,ROUND(11.74*($F357/1000)^-0.0774,2),0)</f>
        <v>4.62</v>
      </c>
      <c r="H486" s="1262">
        <f t="shared" ref="H486:N486" si="282">IF($F357&gt;5000000,ROUND(11.74*($F357/1000)^-0.0774,2),0)</f>
        <v>4.62</v>
      </c>
      <c r="I486" s="1262">
        <f t="shared" si="282"/>
        <v>4.62</v>
      </c>
      <c r="J486" s="1262">
        <f t="shared" si="282"/>
        <v>4.62</v>
      </c>
      <c r="K486" s="1262">
        <f t="shared" si="282"/>
        <v>4.62</v>
      </c>
      <c r="L486" s="1262">
        <f t="shared" si="282"/>
        <v>4.62</v>
      </c>
      <c r="M486" s="1262">
        <f t="shared" si="282"/>
        <v>4.62</v>
      </c>
      <c r="N486" s="1328">
        <f t="shared" si="282"/>
        <v>4.62</v>
      </c>
    </row>
    <row r="487" spans="1:14" s="896" customFormat="1" ht="13.5" customHeight="1">
      <c r="A487" s="2653"/>
      <c r="B487" s="2656"/>
      <c r="C487" s="2658"/>
      <c r="D487" s="1260"/>
      <c r="E487" s="1261"/>
      <c r="F487" s="1256" t="s">
        <v>2696</v>
      </c>
      <c r="G487" s="1262">
        <f>IF($F357&gt;5000000,ROUND(6.94*($F357/1000)^-0.0774,2),0)</f>
        <v>2.73</v>
      </c>
      <c r="H487" s="1262">
        <f t="shared" ref="H487:N487" si="283">IF($F357&gt;5000000,ROUND(6.94*($F357/1000)^-0.0774,2),0)</f>
        <v>2.73</v>
      </c>
      <c r="I487" s="1262">
        <f t="shared" si="283"/>
        <v>2.73</v>
      </c>
      <c r="J487" s="1262">
        <f t="shared" si="283"/>
        <v>2.73</v>
      </c>
      <c r="K487" s="1262">
        <f t="shared" si="283"/>
        <v>2.73</v>
      </c>
      <c r="L487" s="1262">
        <f t="shared" si="283"/>
        <v>2.73</v>
      </c>
      <c r="M487" s="1262">
        <f t="shared" si="283"/>
        <v>2.73</v>
      </c>
      <c r="N487" s="1328">
        <f t="shared" si="283"/>
        <v>2.73</v>
      </c>
    </row>
    <row r="488" spans="1:14" s="896" customFormat="1" ht="13.5" customHeight="1">
      <c r="A488" s="2645" t="s">
        <v>2698</v>
      </c>
      <c r="B488" s="2646"/>
      <c r="C488" s="2646"/>
      <c r="D488" s="2646"/>
      <c r="E488" s="2646"/>
      <c r="F488" s="2647"/>
      <c r="G488" s="1265">
        <f>IF($F357&lt;=5000000,IF(G$483&gt;G$484,G$484,IF(G$483&lt;G$485,G$485,G$483)),IF(G$483&gt;G$486,G$486,IF(G$483&lt;G$487,G$487,G$483)))</f>
        <v>4.62</v>
      </c>
      <c r="H488" s="1265">
        <f t="shared" ref="H488:N488" si="284">IF($F357&lt;=5000000,IF(H$483&gt;H$484,H$484,IF(H$483&lt;H$485,H$485,H$483)),IF(H$483&gt;H$486,H$486,IF(H$483&lt;H$487,H$487,H$483)))</f>
        <v>4.12</v>
      </c>
      <c r="I488" s="1265">
        <f t="shared" si="284"/>
        <v>4.62</v>
      </c>
      <c r="J488" s="1265">
        <f t="shared" si="284"/>
        <v>4.62</v>
      </c>
      <c r="K488" s="1265">
        <f t="shared" si="284"/>
        <v>4.62</v>
      </c>
      <c r="L488" s="1265">
        <f t="shared" si="284"/>
        <v>2.73</v>
      </c>
      <c r="M488" s="1265">
        <f t="shared" si="284"/>
        <v>2.73</v>
      </c>
      <c r="N488" s="1329">
        <f t="shared" si="284"/>
        <v>2.73</v>
      </c>
    </row>
    <row r="489" spans="1:14" s="896" customFormat="1" ht="15" thickBot="1">
      <c r="A489" s="2648" t="s">
        <v>2699</v>
      </c>
      <c r="B489" s="2649"/>
      <c r="C489" s="2649"/>
      <c r="D489" s="2649"/>
      <c r="E489" s="2649"/>
      <c r="F489" s="2650"/>
      <c r="G489" s="1268">
        <f>ROUND(G488*IF(AND(G305="駅施設",G306="無し"),0.7,IF(AND(G305="駅施設",G306="有り"),0.7,IF(AND(G305="地上建物",G306="無し"),0.9,IF(AND(G305="地上建物",G306="有り"),1,0)))),2)</f>
        <v>3.23</v>
      </c>
      <c r="H489" s="1268">
        <f t="shared" ref="H489:N489" si="285">ROUND(H488*IF(AND(H305="駅施設",H306="無し"),0.7,IF(AND(H305="駅施設",H306="有り"),0.7,IF(AND(H305="地上建物",H306="無し"),0.9,IF(AND(H305="地上建物",H306="有り"),1,0)))),2)</f>
        <v>2.88</v>
      </c>
      <c r="I489" s="1268">
        <f t="shared" si="285"/>
        <v>3.23</v>
      </c>
      <c r="J489" s="1268">
        <f t="shared" si="285"/>
        <v>3.23</v>
      </c>
      <c r="K489" s="1268">
        <f t="shared" si="285"/>
        <v>3.23</v>
      </c>
      <c r="L489" s="1268">
        <f t="shared" si="285"/>
        <v>1.91</v>
      </c>
      <c r="M489" s="1268">
        <f t="shared" si="285"/>
        <v>1.91</v>
      </c>
      <c r="N489" s="1268">
        <f t="shared" si="285"/>
        <v>1.91</v>
      </c>
    </row>
    <row r="490" spans="1:14" s="896" customFormat="1" ht="15" thickBot="1">
      <c r="G490" s="1246"/>
      <c r="H490" s="1246"/>
      <c r="I490" s="1246"/>
      <c r="J490" s="1246"/>
      <c r="K490" s="1246"/>
      <c r="L490" s="1246"/>
      <c r="M490" s="1246"/>
      <c r="N490" s="1246"/>
    </row>
    <row r="491" spans="1:14" s="896" customFormat="1" ht="14">
      <c r="A491" s="1247"/>
      <c r="B491" s="1248"/>
      <c r="C491" s="1249" t="s">
        <v>2704</v>
      </c>
      <c r="D491" s="1250"/>
      <c r="E491" s="1248"/>
      <c r="F491" s="1251" t="s">
        <v>2690</v>
      </c>
      <c r="G491" s="1252">
        <f t="shared" ref="G491:N491" si="286">+G499</f>
        <v>16.600000000000001</v>
      </c>
      <c r="H491" s="1252">
        <f t="shared" si="286"/>
        <v>11</v>
      </c>
      <c r="I491" s="1252">
        <f t="shared" si="286"/>
        <v>16.600000000000001</v>
      </c>
      <c r="J491" s="1252">
        <f t="shared" si="286"/>
        <v>16.600000000000001</v>
      </c>
      <c r="K491" s="1252">
        <f t="shared" si="286"/>
        <v>16.600000000000001</v>
      </c>
      <c r="L491" s="1252">
        <f t="shared" si="286"/>
        <v>0</v>
      </c>
      <c r="M491" s="1252">
        <f t="shared" si="286"/>
        <v>0</v>
      </c>
      <c r="N491" s="1253">
        <f t="shared" si="286"/>
        <v>0</v>
      </c>
    </row>
    <row r="492" spans="1:14" s="896" customFormat="1" ht="14">
      <c r="A492" s="2651"/>
      <c r="B492" s="2654" t="s">
        <v>2691</v>
      </c>
      <c r="C492" s="1254" t="s">
        <v>2705</v>
      </c>
      <c r="D492" s="1063"/>
      <c r="E492" s="1255"/>
      <c r="F492" s="1256" t="s">
        <v>2706</v>
      </c>
      <c r="G492" s="1257">
        <f>IF($F396&lt;=10000000,ROUND(151.08*((10000)^-0.3396)*(G491^0.586),2),ROUND(151.08*(($F396/1000)^-0.3396)*(G491^0.586),2))</f>
        <v>12.88</v>
      </c>
      <c r="H492" s="1257">
        <f t="shared" ref="H492:N492" si="287">IF($F396&lt;=10000000,ROUND(151.08*((10000)^-0.3396)*(H491^0.586),2),ROUND(151.08*(($F396/1000)^-0.3396)*(H491^0.586),2))</f>
        <v>10.119999999999999</v>
      </c>
      <c r="I492" s="1257">
        <f t="shared" si="287"/>
        <v>12.88</v>
      </c>
      <c r="J492" s="1257">
        <f t="shared" si="287"/>
        <v>12.88</v>
      </c>
      <c r="K492" s="1257">
        <f t="shared" si="287"/>
        <v>12.88</v>
      </c>
      <c r="L492" s="1257">
        <f t="shared" si="287"/>
        <v>0</v>
      </c>
      <c r="M492" s="1257">
        <f t="shared" si="287"/>
        <v>0</v>
      </c>
      <c r="N492" s="1326">
        <f t="shared" si="287"/>
        <v>0</v>
      </c>
    </row>
    <row r="493" spans="1:14" s="896" customFormat="1" ht="14">
      <c r="A493" s="2652"/>
      <c r="B493" s="2655"/>
      <c r="C493" s="2657" t="s">
        <v>2707</v>
      </c>
      <c r="D493" s="1133"/>
      <c r="E493" s="1258"/>
      <c r="F493" s="1256" t="s">
        <v>2695</v>
      </c>
      <c r="G493" s="1259">
        <f>IF($F396&lt;=10000000,ROUND(20.13,2),0)</f>
        <v>0</v>
      </c>
      <c r="H493" s="1259">
        <f t="shared" ref="H493:N493" si="288">IF($F396&lt;=10000000,ROUND(20.13,2),0)</f>
        <v>0</v>
      </c>
      <c r="I493" s="1259">
        <f t="shared" si="288"/>
        <v>0</v>
      </c>
      <c r="J493" s="1259">
        <f t="shared" si="288"/>
        <v>0</v>
      </c>
      <c r="K493" s="1259">
        <f t="shared" si="288"/>
        <v>0</v>
      </c>
      <c r="L493" s="1259">
        <f t="shared" si="288"/>
        <v>0</v>
      </c>
      <c r="M493" s="1259">
        <f t="shared" si="288"/>
        <v>0</v>
      </c>
      <c r="N493" s="1327">
        <f t="shared" si="288"/>
        <v>0</v>
      </c>
    </row>
    <row r="494" spans="1:14" s="896" customFormat="1" ht="13.5" customHeight="1">
      <c r="A494" s="2652"/>
      <c r="B494" s="2655"/>
      <c r="C494" s="2658"/>
      <c r="D494" s="1260"/>
      <c r="E494" s="1261"/>
      <c r="F494" s="1256" t="s">
        <v>2696</v>
      </c>
      <c r="G494" s="1259">
        <f>IF($F396&lt;=10000000,ROUND(10.01,2),0)</f>
        <v>0</v>
      </c>
      <c r="H494" s="1259">
        <f t="shared" ref="H494:N494" si="289">IF($F396&lt;=10000000,ROUND(10.01,2),0)</f>
        <v>0</v>
      </c>
      <c r="I494" s="1259">
        <f t="shared" si="289"/>
        <v>0</v>
      </c>
      <c r="J494" s="1259">
        <f t="shared" si="289"/>
        <v>0</v>
      </c>
      <c r="K494" s="1259">
        <f t="shared" si="289"/>
        <v>0</v>
      </c>
      <c r="L494" s="1259">
        <f t="shared" si="289"/>
        <v>0</v>
      </c>
      <c r="M494" s="1259">
        <f t="shared" si="289"/>
        <v>0</v>
      </c>
      <c r="N494" s="1327">
        <f t="shared" si="289"/>
        <v>0</v>
      </c>
    </row>
    <row r="495" spans="1:14" s="896" customFormat="1" ht="14">
      <c r="A495" s="2652"/>
      <c r="B495" s="2655"/>
      <c r="C495" s="2657" t="s">
        <v>2708</v>
      </c>
      <c r="D495" s="1133"/>
      <c r="E495" s="1258"/>
      <c r="F495" s="1256" t="s">
        <v>2695</v>
      </c>
      <c r="G495" s="1262">
        <f>IF($F396&gt;10000000,ROUND(75.97*($F396/1000)^-0.1442,2),0)</f>
        <v>13.27</v>
      </c>
      <c r="H495" s="1262">
        <f t="shared" ref="H495:N495" si="290">IF($F396&gt;10000000,ROUND(75.97*($F396/1000)^-0.1442,2),0)</f>
        <v>13.27</v>
      </c>
      <c r="I495" s="1262">
        <f t="shared" si="290"/>
        <v>13.27</v>
      </c>
      <c r="J495" s="1262">
        <f t="shared" si="290"/>
        <v>13.27</v>
      </c>
      <c r="K495" s="1262">
        <f t="shared" si="290"/>
        <v>13.27</v>
      </c>
      <c r="L495" s="1262">
        <f t="shared" si="290"/>
        <v>13.27</v>
      </c>
      <c r="M495" s="1262">
        <f t="shared" si="290"/>
        <v>13.27</v>
      </c>
      <c r="N495" s="1328">
        <f t="shared" si="290"/>
        <v>13.27</v>
      </c>
    </row>
    <row r="496" spans="1:14" s="896" customFormat="1" ht="13.5" customHeight="1">
      <c r="A496" s="2653"/>
      <c r="B496" s="2656"/>
      <c r="C496" s="2658"/>
      <c r="D496" s="1260"/>
      <c r="E496" s="1261"/>
      <c r="F496" s="1256" t="s">
        <v>2696</v>
      </c>
      <c r="G496" s="1262">
        <f>IF($F396&gt;10000000,ROUND(37.76*($F396/1000)^-0.1442,2),0)</f>
        <v>6.6</v>
      </c>
      <c r="H496" s="1262">
        <f t="shared" ref="H496:N496" si="291">IF($F396&gt;10000000,ROUND(37.76*($F396/1000)^-0.1442,2),0)</f>
        <v>6.6</v>
      </c>
      <c r="I496" s="1262">
        <f t="shared" si="291"/>
        <v>6.6</v>
      </c>
      <c r="J496" s="1262">
        <f t="shared" si="291"/>
        <v>6.6</v>
      </c>
      <c r="K496" s="1262">
        <f t="shared" si="291"/>
        <v>6.6</v>
      </c>
      <c r="L496" s="1262">
        <f t="shared" si="291"/>
        <v>6.6</v>
      </c>
      <c r="M496" s="1262">
        <f t="shared" si="291"/>
        <v>6.6</v>
      </c>
      <c r="N496" s="1328">
        <f t="shared" si="291"/>
        <v>6.6</v>
      </c>
    </row>
    <row r="497" spans="1:14" s="896" customFormat="1" ht="15" thickBot="1">
      <c r="A497" s="2660" t="s">
        <v>2709</v>
      </c>
      <c r="B497" s="2661"/>
      <c r="C497" s="2661"/>
      <c r="D497" s="2661"/>
      <c r="E497" s="1266"/>
      <c r="F497" s="1267"/>
      <c r="G497" s="1268">
        <f>IF($F396&lt;=10000000,IF(G$492&gt;G$493,G$493,IF(G$492&lt;G$494,G$494,G$492)),IF(G$492&gt;G$495,G$495,IF(G$492&lt;G$496,G$496,G$492)))</f>
        <v>12.88</v>
      </c>
      <c r="H497" s="1268">
        <f t="shared" ref="H497:N497" si="292">IF($F396&lt;=10000000,IF(H$492&gt;H$493,H$493,IF(H$492&lt;H$494,H$494,H$492)),IF(H$492&gt;H$495,H$495,IF(H$492&lt;H$496,H$496,H$492)))</f>
        <v>10.119999999999999</v>
      </c>
      <c r="I497" s="1268">
        <f t="shared" si="292"/>
        <v>12.88</v>
      </c>
      <c r="J497" s="1268">
        <f t="shared" si="292"/>
        <v>12.88</v>
      </c>
      <c r="K497" s="1268">
        <f t="shared" si="292"/>
        <v>12.88</v>
      </c>
      <c r="L497" s="1268">
        <f t="shared" si="292"/>
        <v>6.6</v>
      </c>
      <c r="M497" s="1268">
        <f t="shared" si="292"/>
        <v>6.6</v>
      </c>
      <c r="N497" s="1330">
        <f t="shared" si="292"/>
        <v>6.6</v>
      </c>
    </row>
    <row r="498" spans="1:14" s="896" customFormat="1" ht="15" thickBot="1">
      <c r="G498" s="1264"/>
      <c r="H498" s="1264"/>
      <c r="I498" s="1264"/>
      <c r="J498" s="1264"/>
      <c r="K498" s="1264"/>
      <c r="L498" s="1264"/>
      <c r="M498" s="1264"/>
      <c r="N498" s="1264"/>
    </row>
    <row r="499" spans="1:14" s="896" customFormat="1" ht="14">
      <c r="A499" s="1247"/>
      <c r="B499" s="1248"/>
      <c r="C499" s="1249" t="s">
        <v>2704</v>
      </c>
      <c r="D499" s="1250"/>
      <c r="E499" s="1248"/>
      <c r="F499" s="1251" t="s">
        <v>2690</v>
      </c>
      <c r="G499" s="1252">
        <f t="shared" ref="G499:N499" si="293">+G300</f>
        <v>16.600000000000001</v>
      </c>
      <c r="H499" s="1252">
        <f t="shared" si="293"/>
        <v>11</v>
      </c>
      <c r="I499" s="1252">
        <f t="shared" si="293"/>
        <v>16.600000000000001</v>
      </c>
      <c r="J499" s="1252">
        <f t="shared" si="293"/>
        <v>16.600000000000001</v>
      </c>
      <c r="K499" s="1252">
        <f t="shared" si="293"/>
        <v>16.600000000000001</v>
      </c>
      <c r="L499" s="1252">
        <f t="shared" si="293"/>
        <v>0</v>
      </c>
      <c r="M499" s="1252">
        <f t="shared" si="293"/>
        <v>0</v>
      </c>
      <c r="N499" s="1253">
        <f t="shared" si="293"/>
        <v>0</v>
      </c>
    </row>
    <row r="500" spans="1:14" s="896" customFormat="1" ht="14">
      <c r="A500" s="2651"/>
      <c r="B500" s="2654" t="s">
        <v>2700</v>
      </c>
      <c r="C500" s="1254" t="s">
        <v>2705</v>
      </c>
      <c r="D500" s="1063"/>
      <c r="E500" s="1255"/>
      <c r="F500" s="1256" t="s">
        <v>2706</v>
      </c>
      <c r="G500" s="1257">
        <f>IF($F396&lt;=5000000,ROUND(356.2*((5000)^-0.4085)*(G499^0.5766),2),ROUND(356.2*(($F396/1000)^-0.4085)*(G499^0.5766),2))</f>
        <v>12.85</v>
      </c>
      <c r="H500" s="1257">
        <f t="shared" ref="H500:N500" si="294">IF($F396&lt;=5000000,ROUND(356.2*((5000)^-0.4085)*(H499^0.5766),2),ROUND(356.2*(($F396/1000)^-0.4085)*(H499^0.5766),2))</f>
        <v>10.130000000000001</v>
      </c>
      <c r="I500" s="1257">
        <f t="shared" si="294"/>
        <v>12.85</v>
      </c>
      <c r="J500" s="1257">
        <f t="shared" si="294"/>
        <v>12.85</v>
      </c>
      <c r="K500" s="1257">
        <f t="shared" si="294"/>
        <v>12.85</v>
      </c>
      <c r="L500" s="1257">
        <f t="shared" si="294"/>
        <v>0</v>
      </c>
      <c r="M500" s="1257">
        <f t="shared" si="294"/>
        <v>0</v>
      </c>
      <c r="N500" s="1326">
        <f t="shared" si="294"/>
        <v>0</v>
      </c>
    </row>
    <row r="501" spans="1:14" s="896" customFormat="1" ht="14">
      <c r="A501" s="2652"/>
      <c r="B501" s="2655"/>
      <c r="C501" s="2657" t="s">
        <v>2710</v>
      </c>
      <c r="D501" s="1133"/>
      <c r="E501" s="1258"/>
      <c r="F501" s="1256" t="s">
        <v>2695</v>
      </c>
      <c r="G501" s="1259">
        <f>IF($F396&lt;=5000000,ROUND(26.86,2),0)</f>
        <v>0</v>
      </c>
      <c r="H501" s="1259">
        <f t="shared" ref="H501:N501" si="295">IF($F396&lt;=5000000,ROUND(26.86,2),0)</f>
        <v>0</v>
      </c>
      <c r="I501" s="1259">
        <f t="shared" si="295"/>
        <v>0</v>
      </c>
      <c r="J501" s="1259">
        <f t="shared" si="295"/>
        <v>0</v>
      </c>
      <c r="K501" s="1259">
        <f t="shared" si="295"/>
        <v>0</v>
      </c>
      <c r="L501" s="1259">
        <f t="shared" si="295"/>
        <v>0</v>
      </c>
      <c r="M501" s="1259">
        <f t="shared" si="295"/>
        <v>0</v>
      </c>
      <c r="N501" s="1327">
        <f t="shared" si="295"/>
        <v>0</v>
      </c>
    </row>
    <row r="502" spans="1:14" s="896" customFormat="1" ht="13.5" customHeight="1">
      <c r="A502" s="2652"/>
      <c r="B502" s="2655"/>
      <c r="C502" s="2658"/>
      <c r="D502" s="1260"/>
      <c r="E502" s="1261"/>
      <c r="F502" s="1256" t="s">
        <v>2696</v>
      </c>
      <c r="G502" s="1259">
        <f>IF($F396&lt;=5000000,ROUND(12.7,2),0)</f>
        <v>0</v>
      </c>
      <c r="H502" s="1259">
        <f t="shared" ref="H502:N502" si="296">IF($F396&lt;=5000000,ROUND(12.7,2),0)</f>
        <v>0</v>
      </c>
      <c r="I502" s="1259">
        <f t="shared" si="296"/>
        <v>0</v>
      </c>
      <c r="J502" s="1259">
        <f t="shared" si="296"/>
        <v>0</v>
      </c>
      <c r="K502" s="1259">
        <f t="shared" si="296"/>
        <v>0</v>
      </c>
      <c r="L502" s="1259">
        <f t="shared" si="296"/>
        <v>0</v>
      </c>
      <c r="M502" s="1259">
        <f t="shared" si="296"/>
        <v>0</v>
      </c>
      <c r="N502" s="1327">
        <f t="shared" si="296"/>
        <v>0</v>
      </c>
    </row>
    <row r="503" spans="1:14" s="896" customFormat="1" ht="14">
      <c r="A503" s="2652"/>
      <c r="B503" s="2655"/>
      <c r="C503" s="2657" t="s">
        <v>2711</v>
      </c>
      <c r="D503" s="1133"/>
      <c r="E503" s="1258"/>
      <c r="F503" s="1256" t="s">
        <v>2695</v>
      </c>
      <c r="G503" s="1262">
        <f>IF($F396&gt;5000000,ROUND(184.58*($F396/1000)^-0.2263,2),0)</f>
        <v>11.94</v>
      </c>
      <c r="H503" s="1262">
        <f t="shared" ref="H503:N503" si="297">IF($F396&gt;5000000,ROUND(184.58*($F396/1000)^-0.2263,2),0)</f>
        <v>11.94</v>
      </c>
      <c r="I503" s="1262">
        <f t="shared" si="297"/>
        <v>11.94</v>
      </c>
      <c r="J503" s="1262">
        <f t="shared" si="297"/>
        <v>11.94</v>
      </c>
      <c r="K503" s="1262">
        <f t="shared" si="297"/>
        <v>11.94</v>
      </c>
      <c r="L503" s="1262">
        <f t="shared" si="297"/>
        <v>11.94</v>
      </c>
      <c r="M503" s="1262">
        <f t="shared" si="297"/>
        <v>11.94</v>
      </c>
      <c r="N503" s="1328">
        <f t="shared" si="297"/>
        <v>11.94</v>
      </c>
    </row>
    <row r="504" spans="1:14" s="896" customFormat="1" ht="13.5" customHeight="1">
      <c r="A504" s="2653"/>
      <c r="B504" s="2656"/>
      <c r="C504" s="2658"/>
      <c r="D504" s="1260"/>
      <c r="E504" s="1261"/>
      <c r="F504" s="1256" t="s">
        <v>2696</v>
      </c>
      <c r="G504" s="1262">
        <f>IF($F396&gt;5000000,ROUND(87.29*($F396/1000)^-0.2263,2),0)</f>
        <v>5.65</v>
      </c>
      <c r="H504" s="1262">
        <f t="shared" ref="H504:N504" si="298">IF($F396&gt;5000000,ROUND(87.29*($F396/1000)^-0.2263,2),0)</f>
        <v>5.65</v>
      </c>
      <c r="I504" s="1262">
        <f t="shared" si="298"/>
        <v>5.65</v>
      </c>
      <c r="J504" s="1262">
        <f t="shared" si="298"/>
        <v>5.65</v>
      </c>
      <c r="K504" s="1262">
        <f t="shared" si="298"/>
        <v>5.65</v>
      </c>
      <c r="L504" s="1262">
        <f t="shared" si="298"/>
        <v>5.65</v>
      </c>
      <c r="M504" s="1262">
        <f t="shared" si="298"/>
        <v>5.65</v>
      </c>
      <c r="N504" s="1328">
        <f t="shared" si="298"/>
        <v>5.65</v>
      </c>
    </row>
    <row r="505" spans="1:14" s="896" customFormat="1" ht="15" thickBot="1">
      <c r="A505" s="2660" t="s">
        <v>2709</v>
      </c>
      <c r="B505" s="2661"/>
      <c r="C505" s="2661"/>
      <c r="D505" s="2661"/>
      <c r="E505" s="1269"/>
      <c r="F505" s="1267"/>
      <c r="G505" s="1270">
        <f>IF($F396&lt;=5000000,IF(G$500&gt;G$501,G$501,IF(G$500&lt;G$502,G$502,G$500)),IF(G$500&gt;G$503,G$503,IF(G$500&lt;G$504,G$504,G$500)))</f>
        <v>11.94</v>
      </c>
      <c r="H505" s="1270">
        <f t="shared" ref="H505:N505" si="299">IF($F396&lt;=5000000,IF(H$500&gt;H$501,H$501,IF(H$500&lt;H$502,H$502,H$500)),IF(H$500&gt;H$503,H$503,IF(H$500&lt;H$504,H$504,H$500)))</f>
        <v>10.130000000000001</v>
      </c>
      <c r="I505" s="1270">
        <f t="shared" si="299"/>
        <v>11.94</v>
      </c>
      <c r="J505" s="1270">
        <f t="shared" si="299"/>
        <v>11.94</v>
      </c>
      <c r="K505" s="1270">
        <f t="shared" si="299"/>
        <v>11.94</v>
      </c>
      <c r="L505" s="1270">
        <f t="shared" si="299"/>
        <v>5.65</v>
      </c>
      <c r="M505" s="1270">
        <f t="shared" si="299"/>
        <v>5.65</v>
      </c>
      <c r="N505" s="1331">
        <f t="shared" si="299"/>
        <v>5.65</v>
      </c>
    </row>
    <row r="506" spans="1:14" s="896" customFormat="1" ht="15" thickBot="1">
      <c r="G506" s="1246"/>
      <c r="H506" s="1246"/>
      <c r="I506" s="1246"/>
      <c r="J506" s="1246"/>
      <c r="K506" s="1246"/>
      <c r="L506" s="1246"/>
      <c r="M506" s="1246"/>
      <c r="N506" s="1246"/>
    </row>
    <row r="507" spans="1:14" s="896" customFormat="1" ht="14">
      <c r="A507" s="1247"/>
      <c r="B507" s="1248"/>
      <c r="C507" s="1249" t="s">
        <v>2712</v>
      </c>
      <c r="D507" s="1250"/>
      <c r="E507" s="1248"/>
      <c r="F507" s="1251"/>
      <c r="G507" s="1271"/>
      <c r="H507" s="1272"/>
      <c r="I507" s="1273"/>
      <c r="J507" s="1273"/>
      <c r="K507" s="1273"/>
      <c r="L507" s="1273"/>
      <c r="M507" s="1273"/>
      <c r="N507" s="1273"/>
    </row>
    <row r="508" spans="1:14" s="896" customFormat="1" ht="14">
      <c r="A508" s="2651"/>
      <c r="B508" s="2654" t="s">
        <v>79</v>
      </c>
      <c r="C508" s="1254" t="s">
        <v>2713</v>
      </c>
      <c r="D508" s="1063"/>
      <c r="E508" s="1255"/>
      <c r="F508" s="1256" t="s">
        <v>2714</v>
      </c>
      <c r="G508" s="1274">
        <f>ROUND(28.978-3.173*LOG($F439/1000),2)</f>
        <v>12.15</v>
      </c>
      <c r="H508" s="1275"/>
      <c r="I508" s="1276"/>
      <c r="J508" s="1276"/>
      <c r="K508" s="1276"/>
      <c r="L508" s="1276"/>
      <c r="M508" s="1276"/>
      <c r="N508" s="1276"/>
    </row>
    <row r="509" spans="1:14" s="896" customFormat="1" ht="13.5" customHeight="1">
      <c r="A509" s="2652"/>
      <c r="B509" s="2655"/>
      <c r="C509" s="1277" t="s">
        <v>2715</v>
      </c>
      <c r="D509" s="1133"/>
      <c r="E509" s="1133"/>
      <c r="F509" s="1278"/>
      <c r="G509" s="1279">
        <f>IF($F439&lt;=5000000,17.24,0)</f>
        <v>0</v>
      </c>
      <c r="H509" s="1280"/>
      <c r="I509" s="1281"/>
      <c r="J509" s="147"/>
      <c r="K509" s="1281"/>
      <c r="L509" s="1281"/>
      <c r="M509" s="1281"/>
      <c r="N509" s="1281"/>
    </row>
    <row r="510" spans="1:14" s="896" customFormat="1" ht="14">
      <c r="A510" s="2653"/>
      <c r="B510" s="2656"/>
      <c r="C510" s="1277" t="s">
        <v>2716</v>
      </c>
      <c r="D510" s="1133"/>
      <c r="E510" s="1063"/>
      <c r="F510" s="1278"/>
      <c r="G510" s="1279">
        <f>IF($F439&gt;3000000000,8.43,0)</f>
        <v>0</v>
      </c>
      <c r="H510" s="1282"/>
      <c r="I510" s="1283"/>
      <c r="J510" s="1283"/>
      <c r="K510" s="1283"/>
      <c r="L510" s="1283"/>
      <c r="M510" s="1283"/>
      <c r="N510" s="1283"/>
    </row>
    <row r="511" spans="1:14" s="896" customFormat="1" ht="15" thickBot="1">
      <c r="A511" s="2660" t="s">
        <v>2717</v>
      </c>
      <c r="B511" s="2661"/>
      <c r="C511" s="2661"/>
      <c r="D511" s="2661"/>
      <c r="E511" s="1269"/>
      <c r="F511" s="1267"/>
      <c r="G511" s="1284">
        <f>IF($F439&lt;=5000000,G509,IF($F439&gt;3000000000,G510,G508))</f>
        <v>12.15</v>
      </c>
      <c r="H511" s="1285"/>
      <c r="I511" s="1286"/>
      <c r="J511" s="1286"/>
      <c r="K511" s="1286"/>
      <c r="L511" s="1286"/>
      <c r="M511" s="1286"/>
      <c r="N511" s="1286"/>
    </row>
  </sheetData>
  <sheetProtection selectLockedCells="1" selectUnlockedCells="1"/>
  <mergeCells count="167"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</mergeCells>
  <phoneticPr fontId="2"/>
  <conditionalFormatting sqref="F87 A88 F303 A304">
    <cfRule type="expression" dxfId="13" priority="2" stopIfTrue="1">
      <formula>AND($F$113&gt;5000000,OR($E$87="無し",$E$87="なし"))</formula>
    </cfRule>
  </conditionalFormatting>
  <conditionalFormatting sqref="A10">
    <cfRule type="expression" dxfId="12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000-000000000000}">
      <formula1>"駅施設,地上建物"</formula1>
    </dataValidation>
    <dataValidation type="list" allowBlank="1" showInputMessage="1" showErrorMessage="1" sqref="WVO983049:WVV983049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G85:N85" xr:uid="{00000000-0002-0000-0000-000001000000}">
      <formula1>"改修,新営"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000-000002000000}">
      <formula1>"積上げ,積上げ・率処理併用"</formula1>
    </dataValidation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0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0.59999389629810485"/>
  </sheetPr>
  <dimension ref="A1:AM511"/>
  <sheetViews>
    <sheetView view="pageBreakPreview" topLeftCell="A40" zoomScale="85" zoomScaleNormal="100" zoomScaleSheetLayoutView="85" workbookViewId="0">
      <selection activeCell="G23" sqref="G23"/>
    </sheetView>
  </sheetViews>
  <sheetFormatPr baseColWidth="10" defaultColWidth="8.83203125" defaultRowHeight="13.5" customHeight="1"/>
  <cols>
    <col min="1" max="1" width="2.5" style="1287" customWidth="1"/>
    <col min="2" max="2" width="3.5" style="1287" customWidth="1"/>
    <col min="3" max="3" width="21.5" style="1287" customWidth="1"/>
    <col min="4" max="4" width="4" style="1287" customWidth="1"/>
    <col min="5" max="5" width="5.33203125" style="1287" customWidth="1"/>
    <col min="6" max="6" width="15.1640625" style="1287" customWidth="1"/>
    <col min="7" max="14" width="14.1640625" style="1288" customWidth="1"/>
    <col min="15" max="256" width="9" style="1287"/>
    <col min="257" max="257" width="2.5" style="1287" customWidth="1"/>
    <col min="258" max="258" width="3.5" style="1287" customWidth="1"/>
    <col min="259" max="259" width="21.5" style="1287" customWidth="1"/>
    <col min="260" max="260" width="4" style="1287" customWidth="1"/>
    <col min="261" max="261" width="5.33203125" style="1287" customWidth="1"/>
    <col min="262" max="262" width="15.1640625" style="1287" customWidth="1"/>
    <col min="263" max="270" width="14.1640625" style="1287" customWidth="1"/>
    <col min="271" max="512" width="9" style="1287"/>
    <col min="513" max="513" width="2.5" style="1287" customWidth="1"/>
    <col min="514" max="514" width="3.5" style="1287" customWidth="1"/>
    <col min="515" max="515" width="21.5" style="1287" customWidth="1"/>
    <col min="516" max="516" width="4" style="1287" customWidth="1"/>
    <col min="517" max="517" width="5.33203125" style="1287" customWidth="1"/>
    <col min="518" max="518" width="15.1640625" style="1287" customWidth="1"/>
    <col min="519" max="526" width="14.1640625" style="1287" customWidth="1"/>
    <col min="527" max="768" width="9" style="1287"/>
    <col min="769" max="769" width="2.5" style="1287" customWidth="1"/>
    <col min="770" max="770" width="3.5" style="1287" customWidth="1"/>
    <col min="771" max="771" width="21.5" style="1287" customWidth="1"/>
    <col min="772" max="772" width="4" style="1287" customWidth="1"/>
    <col min="773" max="773" width="5.33203125" style="1287" customWidth="1"/>
    <col min="774" max="774" width="15.1640625" style="1287" customWidth="1"/>
    <col min="775" max="782" width="14.1640625" style="1287" customWidth="1"/>
    <col min="783" max="1024" width="9" style="1287"/>
    <col min="1025" max="1025" width="2.5" style="1287" customWidth="1"/>
    <col min="1026" max="1026" width="3.5" style="1287" customWidth="1"/>
    <col min="1027" max="1027" width="21.5" style="1287" customWidth="1"/>
    <col min="1028" max="1028" width="4" style="1287" customWidth="1"/>
    <col min="1029" max="1029" width="5.33203125" style="1287" customWidth="1"/>
    <col min="1030" max="1030" width="15.1640625" style="1287" customWidth="1"/>
    <col min="1031" max="1038" width="14.1640625" style="1287" customWidth="1"/>
    <col min="1039" max="1280" width="9" style="1287"/>
    <col min="1281" max="1281" width="2.5" style="1287" customWidth="1"/>
    <col min="1282" max="1282" width="3.5" style="1287" customWidth="1"/>
    <col min="1283" max="1283" width="21.5" style="1287" customWidth="1"/>
    <col min="1284" max="1284" width="4" style="1287" customWidth="1"/>
    <col min="1285" max="1285" width="5.33203125" style="1287" customWidth="1"/>
    <col min="1286" max="1286" width="15.1640625" style="1287" customWidth="1"/>
    <col min="1287" max="1294" width="14.1640625" style="1287" customWidth="1"/>
    <col min="1295" max="1536" width="9" style="1287"/>
    <col min="1537" max="1537" width="2.5" style="1287" customWidth="1"/>
    <col min="1538" max="1538" width="3.5" style="1287" customWidth="1"/>
    <col min="1539" max="1539" width="21.5" style="1287" customWidth="1"/>
    <col min="1540" max="1540" width="4" style="1287" customWidth="1"/>
    <col min="1541" max="1541" width="5.33203125" style="1287" customWidth="1"/>
    <col min="1542" max="1542" width="15.1640625" style="1287" customWidth="1"/>
    <col min="1543" max="1550" width="14.1640625" style="1287" customWidth="1"/>
    <col min="1551" max="1792" width="9" style="1287"/>
    <col min="1793" max="1793" width="2.5" style="1287" customWidth="1"/>
    <col min="1794" max="1794" width="3.5" style="1287" customWidth="1"/>
    <col min="1795" max="1795" width="21.5" style="1287" customWidth="1"/>
    <col min="1796" max="1796" width="4" style="1287" customWidth="1"/>
    <col min="1797" max="1797" width="5.33203125" style="1287" customWidth="1"/>
    <col min="1798" max="1798" width="15.1640625" style="1287" customWidth="1"/>
    <col min="1799" max="1806" width="14.1640625" style="1287" customWidth="1"/>
    <col min="1807" max="2048" width="9" style="1287"/>
    <col min="2049" max="2049" width="2.5" style="1287" customWidth="1"/>
    <col min="2050" max="2050" width="3.5" style="1287" customWidth="1"/>
    <col min="2051" max="2051" width="21.5" style="1287" customWidth="1"/>
    <col min="2052" max="2052" width="4" style="1287" customWidth="1"/>
    <col min="2053" max="2053" width="5.33203125" style="1287" customWidth="1"/>
    <col min="2054" max="2054" width="15.1640625" style="1287" customWidth="1"/>
    <col min="2055" max="2062" width="14.1640625" style="1287" customWidth="1"/>
    <col min="2063" max="2304" width="9" style="1287"/>
    <col min="2305" max="2305" width="2.5" style="1287" customWidth="1"/>
    <col min="2306" max="2306" width="3.5" style="1287" customWidth="1"/>
    <col min="2307" max="2307" width="21.5" style="1287" customWidth="1"/>
    <col min="2308" max="2308" width="4" style="1287" customWidth="1"/>
    <col min="2309" max="2309" width="5.33203125" style="1287" customWidth="1"/>
    <col min="2310" max="2310" width="15.1640625" style="1287" customWidth="1"/>
    <col min="2311" max="2318" width="14.1640625" style="1287" customWidth="1"/>
    <col min="2319" max="2560" width="9" style="1287"/>
    <col min="2561" max="2561" width="2.5" style="1287" customWidth="1"/>
    <col min="2562" max="2562" width="3.5" style="1287" customWidth="1"/>
    <col min="2563" max="2563" width="21.5" style="1287" customWidth="1"/>
    <col min="2564" max="2564" width="4" style="1287" customWidth="1"/>
    <col min="2565" max="2565" width="5.33203125" style="1287" customWidth="1"/>
    <col min="2566" max="2566" width="15.1640625" style="1287" customWidth="1"/>
    <col min="2567" max="2574" width="14.1640625" style="1287" customWidth="1"/>
    <col min="2575" max="2816" width="9" style="1287"/>
    <col min="2817" max="2817" width="2.5" style="1287" customWidth="1"/>
    <col min="2818" max="2818" width="3.5" style="1287" customWidth="1"/>
    <col min="2819" max="2819" width="21.5" style="1287" customWidth="1"/>
    <col min="2820" max="2820" width="4" style="1287" customWidth="1"/>
    <col min="2821" max="2821" width="5.33203125" style="1287" customWidth="1"/>
    <col min="2822" max="2822" width="15.1640625" style="1287" customWidth="1"/>
    <col min="2823" max="2830" width="14.1640625" style="1287" customWidth="1"/>
    <col min="2831" max="3072" width="9" style="1287"/>
    <col min="3073" max="3073" width="2.5" style="1287" customWidth="1"/>
    <col min="3074" max="3074" width="3.5" style="1287" customWidth="1"/>
    <col min="3075" max="3075" width="21.5" style="1287" customWidth="1"/>
    <col min="3076" max="3076" width="4" style="1287" customWidth="1"/>
    <col min="3077" max="3077" width="5.33203125" style="1287" customWidth="1"/>
    <col min="3078" max="3078" width="15.1640625" style="1287" customWidth="1"/>
    <col min="3079" max="3086" width="14.1640625" style="1287" customWidth="1"/>
    <col min="3087" max="3328" width="9" style="1287"/>
    <col min="3329" max="3329" width="2.5" style="1287" customWidth="1"/>
    <col min="3330" max="3330" width="3.5" style="1287" customWidth="1"/>
    <col min="3331" max="3331" width="21.5" style="1287" customWidth="1"/>
    <col min="3332" max="3332" width="4" style="1287" customWidth="1"/>
    <col min="3333" max="3333" width="5.33203125" style="1287" customWidth="1"/>
    <col min="3334" max="3334" width="15.1640625" style="1287" customWidth="1"/>
    <col min="3335" max="3342" width="14.1640625" style="1287" customWidth="1"/>
    <col min="3343" max="3584" width="9" style="1287"/>
    <col min="3585" max="3585" width="2.5" style="1287" customWidth="1"/>
    <col min="3586" max="3586" width="3.5" style="1287" customWidth="1"/>
    <col min="3587" max="3587" width="21.5" style="1287" customWidth="1"/>
    <col min="3588" max="3588" width="4" style="1287" customWidth="1"/>
    <col min="3589" max="3589" width="5.33203125" style="1287" customWidth="1"/>
    <col min="3590" max="3590" width="15.1640625" style="1287" customWidth="1"/>
    <col min="3591" max="3598" width="14.1640625" style="1287" customWidth="1"/>
    <col min="3599" max="3840" width="9" style="1287"/>
    <col min="3841" max="3841" width="2.5" style="1287" customWidth="1"/>
    <col min="3842" max="3842" width="3.5" style="1287" customWidth="1"/>
    <col min="3843" max="3843" width="21.5" style="1287" customWidth="1"/>
    <col min="3844" max="3844" width="4" style="1287" customWidth="1"/>
    <col min="3845" max="3845" width="5.33203125" style="1287" customWidth="1"/>
    <col min="3846" max="3846" width="15.1640625" style="1287" customWidth="1"/>
    <col min="3847" max="3854" width="14.1640625" style="1287" customWidth="1"/>
    <col min="3855" max="4096" width="9" style="1287"/>
    <col min="4097" max="4097" width="2.5" style="1287" customWidth="1"/>
    <col min="4098" max="4098" width="3.5" style="1287" customWidth="1"/>
    <col min="4099" max="4099" width="21.5" style="1287" customWidth="1"/>
    <col min="4100" max="4100" width="4" style="1287" customWidth="1"/>
    <col min="4101" max="4101" width="5.33203125" style="1287" customWidth="1"/>
    <col min="4102" max="4102" width="15.1640625" style="1287" customWidth="1"/>
    <col min="4103" max="4110" width="14.1640625" style="1287" customWidth="1"/>
    <col min="4111" max="4352" width="9" style="1287"/>
    <col min="4353" max="4353" width="2.5" style="1287" customWidth="1"/>
    <col min="4354" max="4354" width="3.5" style="1287" customWidth="1"/>
    <col min="4355" max="4355" width="21.5" style="1287" customWidth="1"/>
    <col min="4356" max="4356" width="4" style="1287" customWidth="1"/>
    <col min="4357" max="4357" width="5.33203125" style="1287" customWidth="1"/>
    <col min="4358" max="4358" width="15.1640625" style="1287" customWidth="1"/>
    <col min="4359" max="4366" width="14.1640625" style="1287" customWidth="1"/>
    <col min="4367" max="4608" width="9" style="1287"/>
    <col min="4609" max="4609" width="2.5" style="1287" customWidth="1"/>
    <col min="4610" max="4610" width="3.5" style="1287" customWidth="1"/>
    <col min="4611" max="4611" width="21.5" style="1287" customWidth="1"/>
    <col min="4612" max="4612" width="4" style="1287" customWidth="1"/>
    <col min="4613" max="4613" width="5.33203125" style="1287" customWidth="1"/>
    <col min="4614" max="4614" width="15.1640625" style="1287" customWidth="1"/>
    <col min="4615" max="4622" width="14.1640625" style="1287" customWidth="1"/>
    <col min="4623" max="4864" width="9" style="1287"/>
    <col min="4865" max="4865" width="2.5" style="1287" customWidth="1"/>
    <col min="4866" max="4866" width="3.5" style="1287" customWidth="1"/>
    <col min="4867" max="4867" width="21.5" style="1287" customWidth="1"/>
    <col min="4868" max="4868" width="4" style="1287" customWidth="1"/>
    <col min="4869" max="4869" width="5.33203125" style="1287" customWidth="1"/>
    <col min="4870" max="4870" width="15.1640625" style="1287" customWidth="1"/>
    <col min="4871" max="4878" width="14.1640625" style="1287" customWidth="1"/>
    <col min="4879" max="5120" width="9" style="1287"/>
    <col min="5121" max="5121" width="2.5" style="1287" customWidth="1"/>
    <col min="5122" max="5122" width="3.5" style="1287" customWidth="1"/>
    <col min="5123" max="5123" width="21.5" style="1287" customWidth="1"/>
    <col min="5124" max="5124" width="4" style="1287" customWidth="1"/>
    <col min="5125" max="5125" width="5.33203125" style="1287" customWidth="1"/>
    <col min="5126" max="5126" width="15.1640625" style="1287" customWidth="1"/>
    <col min="5127" max="5134" width="14.1640625" style="1287" customWidth="1"/>
    <col min="5135" max="5376" width="9" style="1287"/>
    <col min="5377" max="5377" width="2.5" style="1287" customWidth="1"/>
    <col min="5378" max="5378" width="3.5" style="1287" customWidth="1"/>
    <col min="5379" max="5379" width="21.5" style="1287" customWidth="1"/>
    <col min="5380" max="5380" width="4" style="1287" customWidth="1"/>
    <col min="5381" max="5381" width="5.33203125" style="1287" customWidth="1"/>
    <col min="5382" max="5382" width="15.1640625" style="1287" customWidth="1"/>
    <col min="5383" max="5390" width="14.1640625" style="1287" customWidth="1"/>
    <col min="5391" max="5632" width="9" style="1287"/>
    <col min="5633" max="5633" width="2.5" style="1287" customWidth="1"/>
    <col min="5634" max="5634" width="3.5" style="1287" customWidth="1"/>
    <col min="5635" max="5635" width="21.5" style="1287" customWidth="1"/>
    <col min="5636" max="5636" width="4" style="1287" customWidth="1"/>
    <col min="5637" max="5637" width="5.33203125" style="1287" customWidth="1"/>
    <col min="5638" max="5638" width="15.1640625" style="1287" customWidth="1"/>
    <col min="5639" max="5646" width="14.1640625" style="1287" customWidth="1"/>
    <col min="5647" max="5888" width="9" style="1287"/>
    <col min="5889" max="5889" width="2.5" style="1287" customWidth="1"/>
    <col min="5890" max="5890" width="3.5" style="1287" customWidth="1"/>
    <col min="5891" max="5891" width="21.5" style="1287" customWidth="1"/>
    <col min="5892" max="5892" width="4" style="1287" customWidth="1"/>
    <col min="5893" max="5893" width="5.33203125" style="1287" customWidth="1"/>
    <col min="5894" max="5894" width="15.1640625" style="1287" customWidth="1"/>
    <col min="5895" max="5902" width="14.1640625" style="1287" customWidth="1"/>
    <col min="5903" max="6144" width="9" style="1287"/>
    <col min="6145" max="6145" width="2.5" style="1287" customWidth="1"/>
    <col min="6146" max="6146" width="3.5" style="1287" customWidth="1"/>
    <col min="6147" max="6147" width="21.5" style="1287" customWidth="1"/>
    <col min="6148" max="6148" width="4" style="1287" customWidth="1"/>
    <col min="6149" max="6149" width="5.33203125" style="1287" customWidth="1"/>
    <col min="6150" max="6150" width="15.1640625" style="1287" customWidth="1"/>
    <col min="6151" max="6158" width="14.1640625" style="1287" customWidth="1"/>
    <col min="6159" max="6400" width="9" style="1287"/>
    <col min="6401" max="6401" width="2.5" style="1287" customWidth="1"/>
    <col min="6402" max="6402" width="3.5" style="1287" customWidth="1"/>
    <col min="6403" max="6403" width="21.5" style="1287" customWidth="1"/>
    <col min="6404" max="6404" width="4" style="1287" customWidth="1"/>
    <col min="6405" max="6405" width="5.33203125" style="1287" customWidth="1"/>
    <col min="6406" max="6406" width="15.1640625" style="1287" customWidth="1"/>
    <col min="6407" max="6414" width="14.1640625" style="1287" customWidth="1"/>
    <col min="6415" max="6656" width="9" style="1287"/>
    <col min="6657" max="6657" width="2.5" style="1287" customWidth="1"/>
    <col min="6658" max="6658" width="3.5" style="1287" customWidth="1"/>
    <col min="6659" max="6659" width="21.5" style="1287" customWidth="1"/>
    <col min="6660" max="6660" width="4" style="1287" customWidth="1"/>
    <col min="6661" max="6661" width="5.33203125" style="1287" customWidth="1"/>
    <col min="6662" max="6662" width="15.1640625" style="1287" customWidth="1"/>
    <col min="6663" max="6670" width="14.1640625" style="1287" customWidth="1"/>
    <col min="6671" max="6912" width="9" style="1287"/>
    <col min="6913" max="6913" width="2.5" style="1287" customWidth="1"/>
    <col min="6914" max="6914" width="3.5" style="1287" customWidth="1"/>
    <col min="6915" max="6915" width="21.5" style="1287" customWidth="1"/>
    <col min="6916" max="6916" width="4" style="1287" customWidth="1"/>
    <col min="6917" max="6917" width="5.33203125" style="1287" customWidth="1"/>
    <col min="6918" max="6918" width="15.1640625" style="1287" customWidth="1"/>
    <col min="6919" max="6926" width="14.1640625" style="1287" customWidth="1"/>
    <col min="6927" max="7168" width="9" style="1287"/>
    <col min="7169" max="7169" width="2.5" style="1287" customWidth="1"/>
    <col min="7170" max="7170" width="3.5" style="1287" customWidth="1"/>
    <col min="7171" max="7171" width="21.5" style="1287" customWidth="1"/>
    <col min="7172" max="7172" width="4" style="1287" customWidth="1"/>
    <col min="7173" max="7173" width="5.33203125" style="1287" customWidth="1"/>
    <col min="7174" max="7174" width="15.1640625" style="1287" customWidth="1"/>
    <col min="7175" max="7182" width="14.1640625" style="1287" customWidth="1"/>
    <col min="7183" max="7424" width="9" style="1287"/>
    <col min="7425" max="7425" width="2.5" style="1287" customWidth="1"/>
    <col min="7426" max="7426" width="3.5" style="1287" customWidth="1"/>
    <col min="7427" max="7427" width="21.5" style="1287" customWidth="1"/>
    <col min="7428" max="7428" width="4" style="1287" customWidth="1"/>
    <col min="7429" max="7429" width="5.33203125" style="1287" customWidth="1"/>
    <col min="7430" max="7430" width="15.1640625" style="1287" customWidth="1"/>
    <col min="7431" max="7438" width="14.1640625" style="1287" customWidth="1"/>
    <col min="7439" max="7680" width="9" style="1287"/>
    <col min="7681" max="7681" width="2.5" style="1287" customWidth="1"/>
    <col min="7682" max="7682" width="3.5" style="1287" customWidth="1"/>
    <col min="7683" max="7683" width="21.5" style="1287" customWidth="1"/>
    <col min="7684" max="7684" width="4" style="1287" customWidth="1"/>
    <col min="7685" max="7685" width="5.33203125" style="1287" customWidth="1"/>
    <col min="7686" max="7686" width="15.1640625" style="1287" customWidth="1"/>
    <col min="7687" max="7694" width="14.1640625" style="1287" customWidth="1"/>
    <col min="7695" max="7936" width="9" style="1287"/>
    <col min="7937" max="7937" width="2.5" style="1287" customWidth="1"/>
    <col min="7938" max="7938" width="3.5" style="1287" customWidth="1"/>
    <col min="7939" max="7939" width="21.5" style="1287" customWidth="1"/>
    <col min="7940" max="7940" width="4" style="1287" customWidth="1"/>
    <col min="7941" max="7941" width="5.33203125" style="1287" customWidth="1"/>
    <col min="7942" max="7942" width="15.1640625" style="1287" customWidth="1"/>
    <col min="7943" max="7950" width="14.1640625" style="1287" customWidth="1"/>
    <col min="7951" max="8192" width="9" style="1287"/>
    <col min="8193" max="8193" width="2.5" style="1287" customWidth="1"/>
    <col min="8194" max="8194" width="3.5" style="1287" customWidth="1"/>
    <col min="8195" max="8195" width="21.5" style="1287" customWidth="1"/>
    <col min="8196" max="8196" width="4" style="1287" customWidth="1"/>
    <col min="8197" max="8197" width="5.33203125" style="1287" customWidth="1"/>
    <col min="8198" max="8198" width="15.1640625" style="1287" customWidth="1"/>
    <col min="8199" max="8206" width="14.1640625" style="1287" customWidth="1"/>
    <col min="8207" max="8448" width="9" style="1287"/>
    <col min="8449" max="8449" width="2.5" style="1287" customWidth="1"/>
    <col min="8450" max="8450" width="3.5" style="1287" customWidth="1"/>
    <col min="8451" max="8451" width="21.5" style="1287" customWidth="1"/>
    <col min="8452" max="8452" width="4" style="1287" customWidth="1"/>
    <col min="8453" max="8453" width="5.33203125" style="1287" customWidth="1"/>
    <col min="8454" max="8454" width="15.1640625" style="1287" customWidth="1"/>
    <col min="8455" max="8462" width="14.1640625" style="1287" customWidth="1"/>
    <col min="8463" max="8704" width="9" style="1287"/>
    <col min="8705" max="8705" width="2.5" style="1287" customWidth="1"/>
    <col min="8706" max="8706" width="3.5" style="1287" customWidth="1"/>
    <col min="8707" max="8707" width="21.5" style="1287" customWidth="1"/>
    <col min="8708" max="8708" width="4" style="1287" customWidth="1"/>
    <col min="8709" max="8709" width="5.33203125" style="1287" customWidth="1"/>
    <col min="8710" max="8710" width="15.1640625" style="1287" customWidth="1"/>
    <col min="8711" max="8718" width="14.1640625" style="1287" customWidth="1"/>
    <col min="8719" max="8960" width="9" style="1287"/>
    <col min="8961" max="8961" width="2.5" style="1287" customWidth="1"/>
    <col min="8962" max="8962" width="3.5" style="1287" customWidth="1"/>
    <col min="8963" max="8963" width="21.5" style="1287" customWidth="1"/>
    <col min="8964" max="8964" width="4" style="1287" customWidth="1"/>
    <col min="8965" max="8965" width="5.33203125" style="1287" customWidth="1"/>
    <col min="8966" max="8966" width="15.1640625" style="1287" customWidth="1"/>
    <col min="8967" max="8974" width="14.1640625" style="1287" customWidth="1"/>
    <col min="8975" max="9216" width="9" style="1287"/>
    <col min="9217" max="9217" width="2.5" style="1287" customWidth="1"/>
    <col min="9218" max="9218" width="3.5" style="1287" customWidth="1"/>
    <col min="9219" max="9219" width="21.5" style="1287" customWidth="1"/>
    <col min="9220" max="9220" width="4" style="1287" customWidth="1"/>
    <col min="9221" max="9221" width="5.33203125" style="1287" customWidth="1"/>
    <col min="9222" max="9222" width="15.1640625" style="1287" customWidth="1"/>
    <col min="9223" max="9230" width="14.1640625" style="1287" customWidth="1"/>
    <col min="9231" max="9472" width="9" style="1287"/>
    <col min="9473" max="9473" width="2.5" style="1287" customWidth="1"/>
    <col min="9474" max="9474" width="3.5" style="1287" customWidth="1"/>
    <col min="9475" max="9475" width="21.5" style="1287" customWidth="1"/>
    <col min="9476" max="9476" width="4" style="1287" customWidth="1"/>
    <col min="9477" max="9477" width="5.33203125" style="1287" customWidth="1"/>
    <col min="9478" max="9478" width="15.1640625" style="1287" customWidth="1"/>
    <col min="9479" max="9486" width="14.1640625" style="1287" customWidth="1"/>
    <col min="9487" max="9728" width="9" style="1287"/>
    <col min="9729" max="9729" width="2.5" style="1287" customWidth="1"/>
    <col min="9730" max="9730" width="3.5" style="1287" customWidth="1"/>
    <col min="9731" max="9731" width="21.5" style="1287" customWidth="1"/>
    <col min="9732" max="9732" width="4" style="1287" customWidth="1"/>
    <col min="9733" max="9733" width="5.33203125" style="1287" customWidth="1"/>
    <col min="9734" max="9734" width="15.1640625" style="1287" customWidth="1"/>
    <col min="9735" max="9742" width="14.1640625" style="1287" customWidth="1"/>
    <col min="9743" max="9984" width="9" style="1287"/>
    <col min="9985" max="9985" width="2.5" style="1287" customWidth="1"/>
    <col min="9986" max="9986" width="3.5" style="1287" customWidth="1"/>
    <col min="9987" max="9987" width="21.5" style="1287" customWidth="1"/>
    <col min="9988" max="9988" width="4" style="1287" customWidth="1"/>
    <col min="9989" max="9989" width="5.33203125" style="1287" customWidth="1"/>
    <col min="9990" max="9990" width="15.1640625" style="1287" customWidth="1"/>
    <col min="9991" max="9998" width="14.1640625" style="1287" customWidth="1"/>
    <col min="9999" max="10240" width="9" style="1287"/>
    <col min="10241" max="10241" width="2.5" style="1287" customWidth="1"/>
    <col min="10242" max="10242" width="3.5" style="1287" customWidth="1"/>
    <col min="10243" max="10243" width="21.5" style="1287" customWidth="1"/>
    <col min="10244" max="10244" width="4" style="1287" customWidth="1"/>
    <col min="10245" max="10245" width="5.33203125" style="1287" customWidth="1"/>
    <col min="10246" max="10246" width="15.1640625" style="1287" customWidth="1"/>
    <col min="10247" max="10254" width="14.1640625" style="1287" customWidth="1"/>
    <col min="10255" max="10496" width="9" style="1287"/>
    <col min="10497" max="10497" width="2.5" style="1287" customWidth="1"/>
    <col min="10498" max="10498" width="3.5" style="1287" customWidth="1"/>
    <col min="10499" max="10499" width="21.5" style="1287" customWidth="1"/>
    <col min="10500" max="10500" width="4" style="1287" customWidth="1"/>
    <col min="10501" max="10501" width="5.33203125" style="1287" customWidth="1"/>
    <col min="10502" max="10502" width="15.1640625" style="1287" customWidth="1"/>
    <col min="10503" max="10510" width="14.1640625" style="1287" customWidth="1"/>
    <col min="10511" max="10752" width="9" style="1287"/>
    <col min="10753" max="10753" width="2.5" style="1287" customWidth="1"/>
    <col min="10754" max="10754" width="3.5" style="1287" customWidth="1"/>
    <col min="10755" max="10755" width="21.5" style="1287" customWidth="1"/>
    <col min="10756" max="10756" width="4" style="1287" customWidth="1"/>
    <col min="10757" max="10757" width="5.33203125" style="1287" customWidth="1"/>
    <col min="10758" max="10758" width="15.1640625" style="1287" customWidth="1"/>
    <col min="10759" max="10766" width="14.1640625" style="1287" customWidth="1"/>
    <col min="10767" max="11008" width="9" style="1287"/>
    <col min="11009" max="11009" width="2.5" style="1287" customWidth="1"/>
    <col min="11010" max="11010" width="3.5" style="1287" customWidth="1"/>
    <col min="11011" max="11011" width="21.5" style="1287" customWidth="1"/>
    <col min="11012" max="11012" width="4" style="1287" customWidth="1"/>
    <col min="11013" max="11013" width="5.33203125" style="1287" customWidth="1"/>
    <col min="11014" max="11014" width="15.1640625" style="1287" customWidth="1"/>
    <col min="11015" max="11022" width="14.1640625" style="1287" customWidth="1"/>
    <col min="11023" max="11264" width="9" style="1287"/>
    <col min="11265" max="11265" width="2.5" style="1287" customWidth="1"/>
    <col min="11266" max="11266" width="3.5" style="1287" customWidth="1"/>
    <col min="11267" max="11267" width="21.5" style="1287" customWidth="1"/>
    <col min="11268" max="11268" width="4" style="1287" customWidth="1"/>
    <col min="11269" max="11269" width="5.33203125" style="1287" customWidth="1"/>
    <col min="11270" max="11270" width="15.1640625" style="1287" customWidth="1"/>
    <col min="11271" max="11278" width="14.1640625" style="1287" customWidth="1"/>
    <col min="11279" max="11520" width="9" style="1287"/>
    <col min="11521" max="11521" width="2.5" style="1287" customWidth="1"/>
    <col min="11522" max="11522" width="3.5" style="1287" customWidth="1"/>
    <col min="11523" max="11523" width="21.5" style="1287" customWidth="1"/>
    <col min="11524" max="11524" width="4" style="1287" customWidth="1"/>
    <col min="11525" max="11525" width="5.33203125" style="1287" customWidth="1"/>
    <col min="11526" max="11526" width="15.1640625" style="1287" customWidth="1"/>
    <col min="11527" max="11534" width="14.1640625" style="1287" customWidth="1"/>
    <col min="11535" max="11776" width="9" style="1287"/>
    <col min="11777" max="11777" width="2.5" style="1287" customWidth="1"/>
    <col min="11778" max="11778" width="3.5" style="1287" customWidth="1"/>
    <col min="11779" max="11779" width="21.5" style="1287" customWidth="1"/>
    <col min="11780" max="11780" width="4" style="1287" customWidth="1"/>
    <col min="11781" max="11781" width="5.33203125" style="1287" customWidth="1"/>
    <col min="11782" max="11782" width="15.1640625" style="1287" customWidth="1"/>
    <col min="11783" max="11790" width="14.1640625" style="1287" customWidth="1"/>
    <col min="11791" max="12032" width="9" style="1287"/>
    <col min="12033" max="12033" width="2.5" style="1287" customWidth="1"/>
    <col min="12034" max="12034" width="3.5" style="1287" customWidth="1"/>
    <col min="12035" max="12035" width="21.5" style="1287" customWidth="1"/>
    <col min="12036" max="12036" width="4" style="1287" customWidth="1"/>
    <col min="12037" max="12037" width="5.33203125" style="1287" customWidth="1"/>
    <col min="12038" max="12038" width="15.1640625" style="1287" customWidth="1"/>
    <col min="12039" max="12046" width="14.1640625" style="1287" customWidth="1"/>
    <col min="12047" max="12288" width="9" style="1287"/>
    <col min="12289" max="12289" width="2.5" style="1287" customWidth="1"/>
    <col min="12290" max="12290" width="3.5" style="1287" customWidth="1"/>
    <col min="12291" max="12291" width="21.5" style="1287" customWidth="1"/>
    <col min="12292" max="12292" width="4" style="1287" customWidth="1"/>
    <col min="12293" max="12293" width="5.33203125" style="1287" customWidth="1"/>
    <col min="12294" max="12294" width="15.1640625" style="1287" customWidth="1"/>
    <col min="12295" max="12302" width="14.1640625" style="1287" customWidth="1"/>
    <col min="12303" max="12544" width="9" style="1287"/>
    <col min="12545" max="12545" width="2.5" style="1287" customWidth="1"/>
    <col min="12546" max="12546" width="3.5" style="1287" customWidth="1"/>
    <col min="12547" max="12547" width="21.5" style="1287" customWidth="1"/>
    <col min="12548" max="12548" width="4" style="1287" customWidth="1"/>
    <col min="12549" max="12549" width="5.33203125" style="1287" customWidth="1"/>
    <col min="12550" max="12550" width="15.1640625" style="1287" customWidth="1"/>
    <col min="12551" max="12558" width="14.1640625" style="1287" customWidth="1"/>
    <col min="12559" max="12800" width="9" style="1287"/>
    <col min="12801" max="12801" width="2.5" style="1287" customWidth="1"/>
    <col min="12802" max="12802" width="3.5" style="1287" customWidth="1"/>
    <col min="12803" max="12803" width="21.5" style="1287" customWidth="1"/>
    <col min="12804" max="12804" width="4" style="1287" customWidth="1"/>
    <col min="12805" max="12805" width="5.33203125" style="1287" customWidth="1"/>
    <col min="12806" max="12806" width="15.1640625" style="1287" customWidth="1"/>
    <col min="12807" max="12814" width="14.1640625" style="1287" customWidth="1"/>
    <col min="12815" max="13056" width="9" style="1287"/>
    <col min="13057" max="13057" width="2.5" style="1287" customWidth="1"/>
    <col min="13058" max="13058" width="3.5" style="1287" customWidth="1"/>
    <col min="13059" max="13059" width="21.5" style="1287" customWidth="1"/>
    <col min="13060" max="13060" width="4" style="1287" customWidth="1"/>
    <col min="13061" max="13061" width="5.33203125" style="1287" customWidth="1"/>
    <col min="13062" max="13062" width="15.1640625" style="1287" customWidth="1"/>
    <col min="13063" max="13070" width="14.1640625" style="1287" customWidth="1"/>
    <col min="13071" max="13312" width="9" style="1287"/>
    <col min="13313" max="13313" width="2.5" style="1287" customWidth="1"/>
    <col min="13314" max="13314" width="3.5" style="1287" customWidth="1"/>
    <col min="13315" max="13315" width="21.5" style="1287" customWidth="1"/>
    <col min="13316" max="13316" width="4" style="1287" customWidth="1"/>
    <col min="13317" max="13317" width="5.33203125" style="1287" customWidth="1"/>
    <col min="13318" max="13318" width="15.1640625" style="1287" customWidth="1"/>
    <col min="13319" max="13326" width="14.1640625" style="1287" customWidth="1"/>
    <col min="13327" max="13568" width="9" style="1287"/>
    <col min="13569" max="13569" width="2.5" style="1287" customWidth="1"/>
    <col min="13570" max="13570" width="3.5" style="1287" customWidth="1"/>
    <col min="13571" max="13571" width="21.5" style="1287" customWidth="1"/>
    <col min="13572" max="13572" width="4" style="1287" customWidth="1"/>
    <col min="13573" max="13573" width="5.33203125" style="1287" customWidth="1"/>
    <col min="13574" max="13574" width="15.1640625" style="1287" customWidth="1"/>
    <col min="13575" max="13582" width="14.1640625" style="1287" customWidth="1"/>
    <col min="13583" max="13824" width="9" style="1287"/>
    <col min="13825" max="13825" width="2.5" style="1287" customWidth="1"/>
    <col min="13826" max="13826" width="3.5" style="1287" customWidth="1"/>
    <col min="13827" max="13827" width="21.5" style="1287" customWidth="1"/>
    <col min="13828" max="13828" width="4" style="1287" customWidth="1"/>
    <col min="13829" max="13829" width="5.33203125" style="1287" customWidth="1"/>
    <col min="13830" max="13830" width="15.1640625" style="1287" customWidth="1"/>
    <col min="13831" max="13838" width="14.1640625" style="1287" customWidth="1"/>
    <col min="13839" max="14080" width="9" style="1287"/>
    <col min="14081" max="14081" width="2.5" style="1287" customWidth="1"/>
    <col min="14082" max="14082" width="3.5" style="1287" customWidth="1"/>
    <col min="14083" max="14083" width="21.5" style="1287" customWidth="1"/>
    <col min="14084" max="14084" width="4" style="1287" customWidth="1"/>
    <col min="14085" max="14085" width="5.33203125" style="1287" customWidth="1"/>
    <col min="14086" max="14086" width="15.1640625" style="1287" customWidth="1"/>
    <col min="14087" max="14094" width="14.1640625" style="1287" customWidth="1"/>
    <col min="14095" max="14336" width="9" style="1287"/>
    <col min="14337" max="14337" width="2.5" style="1287" customWidth="1"/>
    <col min="14338" max="14338" width="3.5" style="1287" customWidth="1"/>
    <col min="14339" max="14339" width="21.5" style="1287" customWidth="1"/>
    <col min="14340" max="14340" width="4" style="1287" customWidth="1"/>
    <col min="14341" max="14341" width="5.33203125" style="1287" customWidth="1"/>
    <col min="14342" max="14342" width="15.1640625" style="1287" customWidth="1"/>
    <col min="14343" max="14350" width="14.1640625" style="1287" customWidth="1"/>
    <col min="14351" max="14592" width="9" style="1287"/>
    <col min="14593" max="14593" width="2.5" style="1287" customWidth="1"/>
    <col min="14594" max="14594" width="3.5" style="1287" customWidth="1"/>
    <col min="14595" max="14595" width="21.5" style="1287" customWidth="1"/>
    <col min="14596" max="14596" width="4" style="1287" customWidth="1"/>
    <col min="14597" max="14597" width="5.33203125" style="1287" customWidth="1"/>
    <col min="14598" max="14598" width="15.1640625" style="1287" customWidth="1"/>
    <col min="14599" max="14606" width="14.1640625" style="1287" customWidth="1"/>
    <col min="14607" max="14848" width="9" style="1287"/>
    <col min="14849" max="14849" width="2.5" style="1287" customWidth="1"/>
    <col min="14850" max="14850" width="3.5" style="1287" customWidth="1"/>
    <col min="14851" max="14851" width="21.5" style="1287" customWidth="1"/>
    <col min="14852" max="14852" width="4" style="1287" customWidth="1"/>
    <col min="14853" max="14853" width="5.33203125" style="1287" customWidth="1"/>
    <col min="14854" max="14854" width="15.1640625" style="1287" customWidth="1"/>
    <col min="14855" max="14862" width="14.1640625" style="1287" customWidth="1"/>
    <col min="14863" max="15104" width="9" style="1287"/>
    <col min="15105" max="15105" width="2.5" style="1287" customWidth="1"/>
    <col min="15106" max="15106" width="3.5" style="1287" customWidth="1"/>
    <col min="15107" max="15107" width="21.5" style="1287" customWidth="1"/>
    <col min="15108" max="15108" width="4" style="1287" customWidth="1"/>
    <col min="15109" max="15109" width="5.33203125" style="1287" customWidth="1"/>
    <col min="15110" max="15110" width="15.1640625" style="1287" customWidth="1"/>
    <col min="15111" max="15118" width="14.1640625" style="1287" customWidth="1"/>
    <col min="15119" max="15360" width="9" style="1287"/>
    <col min="15361" max="15361" width="2.5" style="1287" customWidth="1"/>
    <col min="15362" max="15362" width="3.5" style="1287" customWidth="1"/>
    <col min="15363" max="15363" width="21.5" style="1287" customWidth="1"/>
    <col min="15364" max="15364" width="4" style="1287" customWidth="1"/>
    <col min="15365" max="15365" width="5.33203125" style="1287" customWidth="1"/>
    <col min="15366" max="15366" width="15.1640625" style="1287" customWidth="1"/>
    <col min="15367" max="15374" width="14.1640625" style="1287" customWidth="1"/>
    <col min="15375" max="15616" width="9" style="1287"/>
    <col min="15617" max="15617" width="2.5" style="1287" customWidth="1"/>
    <col min="15618" max="15618" width="3.5" style="1287" customWidth="1"/>
    <col min="15619" max="15619" width="21.5" style="1287" customWidth="1"/>
    <col min="15620" max="15620" width="4" style="1287" customWidth="1"/>
    <col min="15621" max="15621" width="5.33203125" style="1287" customWidth="1"/>
    <col min="15622" max="15622" width="15.1640625" style="1287" customWidth="1"/>
    <col min="15623" max="15630" width="14.1640625" style="1287" customWidth="1"/>
    <col min="15631" max="15872" width="9" style="1287"/>
    <col min="15873" max="15873" width="2.5" style="1287" customWidth="1"/>
    <col min="15874" max="15874" width="3.5" style="1287" customWidth="1"/>
    <col min="15875" max="15875" width="21.5" style="1287" customWidth="1"/>
    <col min="15876" max="15876" width="4" style="1287" customWidth="1"/>
    <col min="15877" max="15877" width="5.33203125" style="1287" customWidth="1"/>
    <col min="15878" max="15878" width="15.1640625" style="1287" customWidth="1"/>
    <col min="15879" max="15886" width="14.1640625" style="1287" customWidth="1"/>
    <col min="15887" max="16128" width="9" style="1287"/>
    <col min="16129" max="16129" width="2.5" style="1287" customWidth="1"/>
    <col min="16130" max="16130" width="3.5" style="1287" customWidth="1"/>
    <col min="16131" max="16131" width="21.5" style="1287" customWidth="1"/>
    <col min="16132" max="16132" width="4" style="1287" customWidth="1"/>
    <col min="16133" max="16133" width="5.33203125" style="1287" customWidth="1"/>
    <col min="16134" max="16134" width="15.1640625" style="1287" customWidth="1"/>
    <col min="16135" max="16142" width="14.1640625" style="1287" customWidth="1"/>
    <col min="16143" max="16384" width="9" style="1287"/>
  </cols>
  <sheetData>
    <row r="1" spans="1:14" s="846" customFormat="1" ht="14">
      <c r="A1" s="840"/>
      <c r="B1" s="840"/>
      <c r="C1" s="841"/>
      <c r="D1" s="841"/>
      <c r="E1" s="842" t="s">
        <v>2513</v>
      </c>
      <c r="F1" s="2578" t="s">
        <v>2971</v>
      </c>
      <c r="G1" s="2578"/>
      <c r="H1" s="2578"/>
      <c r="I1" s="2578"/>
      <c r="J1" s="2578"/>
      <c r="K1" s="2578"/>
      <c r="L1" s="843"/>
      <c r="M1" s="844">
        <v>20180319</v>
      </c>
      <c r="N1" s="845" t="s">
        <v>2514</v>
      </c>
    </row>
    <row r="2" spans="1:14" s="846" customFormat="1" ht="13.5" customHeight="1">
      <c r="A2" s="840"/>
      <c r="B2" s="840"/>
      <c r="C2" s="2579" t="s">
        <v>2515</v>
      </c>
      <c r="D2" s="2579"/>
      <c r="E2" s="2579"/>
      <c r="F2" s="840" t="s">
        <v>2516</v>
      </c>
      <c r="G2" s="847"/>
      <c r="H2" s="848"/>
      <c r="K2" s="848"/>
      <c r="L2" s="848"/>
      <c r="M2" s="840"/>
      <c r="N2" s="848" t="s">
        <v>246</v>
      </c>
    </row>
    <row r="3" spans="1:14" s="846" customFormat="1" ht="14">
      <c r="A3" s="849"/>
      <c r="B3" s="850"/>
      <c r="C3" s="851"/>
      <c r="D3" s="852"/>
      <c r="E3" s="853"/>
      <c r="F3" s="854" t="s">
        <v>2517</v>
      </c>
      <c r="G3" s="855" t="str">
        <f>G86</f>
        <v>工事6</v>
      </c>
      <c r="H3" s="855" t="str">
        <f t="shared" ref="H3:N3" si="0">H86</f>
        <v>工事7</v>
      </c>
      <c r="I3" s="855" t="str">
        <f t="shared" si="0"/>
        <v>工事8</v>
      </c>
      <c r="J3" s="855">
        <f t="shared" si="0"/>
        <v>0</v>
      </c>
      <c r="K3" s="855">
        <f t="shared" si="0"/>
        <v>0</v>
      </c>
      <c r="L3" s="855">
        <f t="shared" si="0"/>
        <v>0</v>
      </c>
      <c r="M3" s="855">
        <f t="shared" si="0"/>
        <v>0</v>
      </c>
      <c r="N3" s="855">
        <f t="shared" si="0"/>
        <v>0</v>
      </c>
    </row>
    <row r="4" spans="1:14" s="846" customFormat="1" ht="13.5" customHeight="1">
      <c r="A4" s="849"/>
      <c r="B4" s="2580" t="s">
        <v>2518</v>
      </c>
      <c r="C4" s="2580"/>
      <c r="D4" s="2580"/>
      <c r="E4" s="853"/>
      <c r="F4" s="856">
        <f>SUM(G4:N4)</f>
        <v>0</v>
      </c>
      <c r="G4" s="857">
        <f>G80</f>
        <v>0</v>
      </c>
      <c r="H4" s="858">
        <f t="shared" ref="H4:N5" si="1">H80</f>
        <v>0</v>
      </c>
      <c r="I4" s="858">
        <f t="shared" si="1"/>
        <v>0</v>
      </c>
      <c r="J4" s="858">
        <f t="shared" si="1"/>
        <v>0</v>
      </c>
      <c r="K4" s="858">
        <f t="shared" si="1"/>
        <v>0</v>
      </c>
      <c r="L4" s="858">
        <f t="shared" si="1"/>
        <v>0</v>
      </c>
      <c r="M4" s="856">
        <f t="shared" si="1"/>
        <v>0</v>
      </c>
      <c r="N4" s="859">
        <f t="shared" si="1"/>
        <v>0</v>
      </c>
    </row>
    <row r="5" spans="1:14" s="846" customFormat="1" ht="13.5" customHeight="1">
      <c r="A5" s="860"/>
      <c r="B5" s="2581" t="s">
        <v>2519</v>
      </c>
      <c r="C5" s="2581"/>
      <c r="D5" s="2581"/>
      <c r="E5" s="861"/>
      <c r="F5" s="862">
        <f>SUM(G5:N5)</f>
        <v>0</v>
      </c>
      <c r="G5" s="863">
        <f>G81</f>
        <v>0</v>
      </c>
      <c r="H5" s="864">
        <f t="shared" si="1"/>
        <v>0</v>
      </c>
      <c r="I5" s="864">
        <f t="shared" si="1"/>
        <v>0</v>
      </c>
      <c r="J5" s="864">
        <f t="shared" si="1"/>
        <v>0</v>
      </c>
      <c r="K5" s="864">
        <f t="shared" si="1"/>
        <v>0</v>
      </c>
      <c r="L5" s="864">
        <f t="shared" si="1"/>
        <v>0</v>
      </c>
      <c r="M5" s="862">
        <f t="shared" si="1"/>
        <v>0</v>
      </c>
      <c r="N5" s="865">
        <f t="shared" si="1"/>
        <v>0</v>
      </c>
    </row>
    <row r="6" spans="1:14" s="846" customFormat="1" ht="13.5" customHeight="1">
      <c r="A6" s="866"/>
      <c r="B6" s="2582" t="s">
        <v>234</v>
      </c>
      <c r="C6" s="2582"/>
      <c r="D6" s="2582"/>
      <c r="E6" s="867"/>
      <c r="F6" s="868">
        <f>SUM(G6:N6)</f>
        <v>0</v>
      </c>
      <c r="G6" s="869">
        <f t="shared" ref="G6:N6" si="2">G79</f>
        <v>0</v>
      </c>
      <c r="H6" s="870">
        <f t="shared" si="2"/>
        <v>0</v>
      </c>
      <c r="I6" s="870">
        <f t="shared" si="2"/>
        <v>0</v>
      </c>
      <c r="J6" s="870">
        <f t="shared" si="2"/>
        <v>0</v>
      </c>
      <c r="K6" s="870">
        <f t="shared" si="2"/>
        <v>0</v>
      </c>
      <c r="L6" s="870">
        <f t="shared" si="2"/>
        <v>0</v>
      </c>
      <c r="M6" s="868">
        <f t="shared" si="2"/>
        <v>0</v>
      </c>
      <c r="N6" s="871">
        <f t="shared" si="2"/>
        <v>0</v>
      </c>
    </row>
    <row r="7" spans="1:14" s="846" customFormat="1" ht="14">
      <c r="A7" s="860"/>
      <c r="B7" s="840"/>
      <c r="C7" s="872"/>
      <c r="D7" s="873"/>
      <c r="E7" s="874"/>
      <c r="F7" s="841"/>
      <c r="G7" s="875" t="s">
        <v>2520</v>
      </c>
      <c r="H7" s="876"/>
      <c r="I7" s="876"/>
      <c r="J7" s="876"/>
      <c r="K7" s="848"/>
      <c r="L7" s="848"/>
      <c r="M7" s="848"/>
      <c r="N7" s="848" t="s">
        <v>2521</v>
      </c>
    </row>
    <row r="8" spans="1:14" s="885" customFormat="1" ht="13.5" customHeight="1">
      <c r="A8" s="877"/>
      <c r="B8" s="878"/>
      <c r="C8" s="879" t="s">
        <v>2522</v>
      </c>
      <c r="D8" s="880"/>
      <c r="E8" s="881"/>
      <c r="F8" s="882" t="s">
        <v>2523</v>
      </c>
      <c r="G8" s="883">
        <f>G84</f>
        <v>16.600000000000001</v>
      </c>
      <c r="H8" s="883">
        <f t="shared" ref="H8:N8" si="3">H84</f>
        <v>11</v>
      </c>
      <c r="I8" s="883">
        <f t="shared" si="3"/>
        <v>16.600000000000001</v>
      </c>
      <c r="J8" s="883">
        <f t="shared" si="3"/>
        <v>0</v>
      </c>
      <c r="K8" s="883">
        <f t="shared" si="3"/>
        <v>0</v>
      </c>
      <c r="L8" s="883">
        <f t="shared" si="3"/>
        <v>0</v>
      </c>
      <c r="M8" s="883">
        <f t="shared" si="3"/>
        <v>0</v>
      </c>
      <c r="N8" s="884">
        <f t="shared" si="3"/>
        <v>0</v>
      </c>
    </row>
    <row r="9" spans="1:14" s="885" customFormat="1" ht="13.5" customHeight="1">
      <c r="A9" s="1294"/>
      <c r="B9" s="1295"/>
      <c r="C9" s="888" t="s">
        <v>2524</v>
      </c>
      <c r="D9" s="889"/>
      <c r="E9" s="890"/>
      <c r="F9" s="891" t="s">
        <v>2523</v>
      </c>
      <c r="G9" s="892" t="str">
        <f>IF(G85="","",G85)</f>
        <v>改修</v>
      </c>
      <c r="H9" s="892" t="str">
        <f t="shared" ref="H9:N9" si="4">IF(H85="","",H85)</f>
        <v>改修</v>
      </c>
      <c r="I9" s="892" t="str">
        <f t="shared" si="4"/>
        <v>改修</v>
      </c>
      <c r="J9" s="892" t="str">
        <f t="shared" si="4"/>
        <v/>
      </c>
      <c r="K9" s="892" t="str">
        <f t="shared" si="4"/>
        <v/>
      </c>
      <c r="L9" s="892" t="str">
        <f t="shared" si="4"/>
        <v/>
      </c>
      <c r="M9" s="892" t="str">
        <f t="shared" si="4"/>
        <v/>
      </c>
      <c r="N9" s="893" t="str">
        <f t="shared" si="4"/>
        <v/>
      </c>
    </row>
    <row r="10" spans="1:14" s="896" customFormat="1" ht="13.5" customHeight="1">
      <c r="A10" s="2583" t="s">
        <v>2525</v>
      </c>
      <c r="B10" s="2584"/>
      <c r="C10" s="2584"/>
      <c r="D10" s="2584"/>
      <c r="E10" s="2584"/>
      <c r="F10" s="2585"/>
      <c r="G10" s="894" t="str">
        <f>G88</f>
        <v>積上げ・率処理併用</v>
      </c>
      <c r="H10" s="894" t="str">
        <f t="shared" ref="H10:N12" si="5">H88</f>
        <v>積上げ・率処理併用</v>
      </c>
      <c r="I10" s="894" t="str">
        <f t="shared" si="5"/>
        <v>積上げ・率処理併用</v>
      </c>
      <c r="J10" s="894" t="str">
        <f t="shared" si="5"/>
        <v>積上げ・率処理併用</v>
      </c>
      <c r="K10" s="894" t="str">
        <f t="shared" si="5"/>
        <v>積上げ・率処理併用</v>
      </c>
      <c r="L10" s="894" t="str">
        <f t="shared" si="5"/>
        <v>積上げ・率処理併用</v>
      </c>
      <c r="M10" s="894" t="str">
        <f t="shared" si="5"/>
        <v>積上げ・率処理併用</v>
      </c>
      <c r="N10" s="895" t="str">
        <f t="shared" si="5"/>
        <v>積上げ・率処理併用</v>
      </c>
    </row>
    <row r="11" spans="1:14" s="896" customFormat="1" ht="30" customHeight="1">
      <c r="A11" s="2596" t="s">
        <v>2526</v>
      </c>
      <c r="B11" s="2597"/>
      <c r="C11" s="2597"/>
      <c r="D11" s="2597"/>
      <c r="E11" s="2597"/>
      <c r="F11" s="2598"/>
      <c r="G11" s="897" t="str">
        <f>G89</f>
        <v>駅施設</v>
      </c>
      <c r="H11" s="897" t="str">
        <f t="shared" si="5"/>
        <v>駅施設</v>
      </c>
      <c r="I11" s="897" t="str">
        <f t="shared" si="5"/>
        <v>駅施設</v>
      </c>
      <c r="J11" s="897" t="str">
        <f t="shared" si="5"/>
        <v>駅施設</v>
      </c>
      <c r="K11" s="897" t="str">
        <f t="shared" si="5"/>
        <v>駅施設</v>
      </c>
      <c r="L11" s="897" t="str">
        <f t="shared" si="5"/>
        <v>駅施設</v>
      </c>
      <c r="M11" s="897" t="str">
        <f t="shared" si="5"/>
        <v>駅施設</v>
      </c>
      <c r="N11" s="898" t="str">
        <f t="shared" si="5"/>
        <v>駅施設</v>
      </c>
    </row>
    <row r="12" spans="1:14" s="896" customFormat="1" ht="30" customHeight="1">
      <c r="A12" s="2599" t="s">
        <v>2527</v>
      </c>
      <c r="B12" s="2600"/>
      <c r="C12" s="2600"/>
      <c r="D12" s="2600"/>
      <c r="E12" s="2600"/>
      <c r="F12" s="2601"/>
      <c r="G12" s="899" t="str">
        <f>G90</f>
        <v>無し</v>
      </c>
      <c r="H12" s="899" t="str">
        <f t="shared" si="5"/>
        <v>無し</v>
      </c>
      <c r="I12" s="899" t="str">
        <f t="shared" si="5"/>
        <v>無し</v>
      </c>
      <c r="J12" s="899" t="str">
        <f t="shared" si="5"/>
        <v>無し</v>
      </c>
      <c r="K12" s="899" t="str">
        <f t="shared" si="5"/>
        <v>無し</v>
      </c>
      <c r="L12" s="899" t="str">
        <f t="shared" si="5"/>
        <v>無し</v>
      </c>
      <c r="M12" s="899" t="str">
        <f t="shared" si="5"/>
        <v>無し</v>
      </c>
      <c r="N12" s="900" t="str">
        <f t="shared" si="5"/>
        <v>無し</v>
      </c>
    </row>
    <row r="13" spans="1:14" s="896" customFormat="1" ht="13.5" customHeight="1">
      <c r="A13" s="877"/>
      <c r="B13" s="901" t="s">
        <v>2528</v>
      </c>
      <c r="C13" s="902"/>
      <c r="D13" s="902"/>
      <c r="E13" s="903"/>
      <c r="F13" s="904">
        <f>SUM(G13:N13)</f>
        <v>2987442</v>
      </c>
      <c r="G13" s="905">
        <f>+G14+G15</f>
        <v>2987442</v>
      </c>
      <c r="H13" s="905">
        <f t="shared" ref="H13:N13" si="6">+H14+H15</f>
        <v>0</v>
      </c>
      <c r="I13" s="905">
        <f t="shared" si="6"/>
        <v>0</v>
      </c>
      <c r="J13" s="905">
        <f t="shared" si="6"/>
        <v>0</v>
      </c>
      <c r="K13" s="905">
        <f t="shared" si="6"/>
        <v>0</v>
      </c>
      <c r="L13" s="905">
        <f t="shared" si="6"/>
        <v>0</v>
      </c>
      <c r="M13" s="905">
        <f t="shared" si="6"/>
        <v>0</v>
      </c>
      <c r="N13" s="906">
        <f t="shared" si="6"/>
        <v>0</v>
      </c>
    </row>
    <row r="14" spans="1:14" s="896" customFormat="1" ht="13.5" customHeight="1">
      <c r="A14" s="1294"/>
      <c r="B14" s="1295"/>
      <c r="C14" s="694" t="s">
        <v>2529</v>
      </c>
      <c r="D14" s="695"/>
      <c r="E14" s="881"/>
      <c r="F14" s="907">
        <f>SUM(G14:N14)</f>
        <v>2911000</v>
      </c>
      <c r="G14" s="908">
        <f>+工事2!I16</f>
        <v>2911000</v>
      </c>
      <c r="H14" s="908"/>
      <c r="I14" s="908"/>
      <c r="J14" s="908"/>
      <c r="K14" s="908"/>
      <c r="L14" s="908"/>
      <c r="M14" s="908"/>
      <c r="N14" s="909"/>
    </row>
    <row r="15" spans="1:14" s="896" customFormat="1" ht="14">
      <c r="A15" s="1294"/>
      <c r="B15" s="1295"/>
      <c r="C15" s="701" t="s">
        <v>2530</v>
      </c>
      <c r="D15" s="701"/>
      <c r="E15" s="910"/>
      <c r="F15" s="911">
        <f>SUM(G15:N15)</f>
        <v>76442</v>
      </c>
      <c r="G15" s="912">
        <f>G21+G22</f>
        <v>76442</v>
      </c>
      <c r="H15" s="912">
        <f t="shared" ref="H15:N15" si="7">H21+H22</f>
        <v>0</v>
      </c>
      <c r="I15" s="912">
        <f t="shared" si="7"/>
        <v>0</v>
      </c>
      <c r="J15" s="912">
        <f t="shared" si="7"/>
        <v>0</v>
      </c>
      <c r="K15" s="912">
        <f t="shared" si="7"/>
        <v>0</v>
      </c>
      <c r="L15" s="912">
        <f t="shared" si="7"/>
        <v>0</v>
      </c>
      <c r="M15" s="912">
        <f t="shared" si="7"/>
        <v>0</v>
      </c>
      <c r="N15" s="913">
        <f t="shared" si="7"/>
        <v>0</v>
      </c>
    </row>
    <row r="16" spans="1:14" s="896" customFormat="1" ht="13.5" customHeight="1">
      <c r="A16" s="1294"/>
      <c r="B16" s="1295"/>
      <c r="C16" s="914" t="s">
        <v>2531</v>
      </c>
      <c r="D16" s="701"/>
      <c r="E16" s="910"/>
      <c r="F16" s="911">
        <f>SUM(G16:N16)</f>
        <v>76442</v>
      </c>
      <c r="G16" s="912">
        <f>G390-G174</f>
        <v>89257</v>
      </c>
      <c r="H16" s="912">
        <f t="shared" ref="H16:N16" si="8">H390-H174</f>
        <v>0</v>
      </c>
      <c r="I16" s="912">
        <f t="shared" si="8"/>
        <v>-12815</v>
      </c>
      <c r="J16" s="912">
        <f t="shared" si="8"/>
        <v>0</v>
      </c>
      <c r="K16" s="912">
        <f t="shared" si="8"/>
        <v>0</v>
      </c>
      <c r="L16" s="912">
        <f t="shared" si="8"/>
        <v>0</v>
      </c>
      <c r="M16" s="912">
        <f t="shared" si="8"/>
        <v>0</v>
      </c>
      <c r="N16" s="913">
        <f t="shared" si="8"/>
        <v>0</v>
      </c>
    </row>
    <row r="17" spans="1:39" s="896" customFormat="1" ht="13.5" customHeight="1">
      <c r="A17" s="1294"/>
      <c r="B17" s="1295"/>
      <c r="C17" s="914" t="s">
        <v>2532</v>
      </c>
      <c r="D17" s="701"/>
      <c r="E17" s="910"/>
      <c r="F17" s="911">
        <f>SUM(G17:AM17)</f>
        <v>-12815</v>
      </c>
      <c r="G17" s="912">
        <f>IF(AND(G14=0,G8=G84,G12="無し"),G16,0)</f>
        <v>0</v>
      </c>
      <c r="H17" s="912">
        <f t="shared" ref="H17:N17" si="9">IF(AND(H14=0,H8=H84,H12="無し"),H16,0)</f>
        <v>0</v>
      </c>
      <c r="I17" s="912">
        <f t="shared" si="9"/>
        <v>-12815</v>
      </c>
      <c r="J17" s="912">
        <f t="shared" si="9"/>
        <v>0</v>
      </c>
      <c r="K17" s="912">
        <f t="shared" si="9"/>
        <v>0</v>
      </c>
      <c r="L17" s="912">
        <f t="shared" si="9"/>
        <v>0</v>
      </c>
      <c r="M17" s="912">
        <f t="shared" si="9"/>
        <v>0</v>
      </c>
      <c r="N17" s="913">
        <f t="shared" si="9"/>
        <v>0</v>
      </c>
      <c r="O17" s="915"/>
      <c r="P17" s="915"/>
      <c r="Q17" s="915"/>
      <c r="R17" s="915"/>
      <c r="S17" s="915"/>
      <c r="T17" s="915"/>
      <c r="U17" s="915"/>
      <c r="V17" s="915"/>
      <c r="W17" s="915"/>
      <c r="X17" s="915"/>
      <c r="Y17" s="915"/>
      <c r="Z17" s="915"/>
      <c r="AA17" s="915"/>
      <c r="AB17" s="915"/>
      <c r="AC17" s="915"/>
      <c r="AD17" s="915"/>
      <c r="AE17" s="915"/>
      <c r="AF17" s="915"/>
      <c r="AG17" s="915"/>
      <c r="AH17" s="915"/>
      <c r="AI17" s="915"/>
      <c r="AJ17" s="915"/>
      <c r="AK17" s="915"/>
      <c r="AL17" s="915"/>
      <c r="AM17" s="915"/>
    </row>
    <row r="18" spans="1:39" s="896" customFormat="1" ht="13.5" customHeight="1">
      <c r="A18" s="1294"/>
      <c r="B18" s="1295"/>
      <c r="C18" s="914" t="s">
        <v>2533</v>
      </c>
      <c r="D18" s="701"/>
      <c r="E18" s="910"/>
      <c r="F18" s="911">
        <f>SUM(G18:AM18)</f>
        <v>2911000</v>
      </c>
      <c r="G18" s="912">
        <f>G14-G43</f>
        <v>2911000</v>
      </c>
      <c r="H18" s="912">
        <f t="shared" ref="H18:N18" si="10">H14-H43</f>
        <v>0</v>
      </c>
      <c r="I18" s="912">
        <f t="shared" si="10"/>
        <v>0</v>
      </c>
      <c r="J18" s="912">
        <f t="shared" si="10"/>
        <v>0</v>
      </c>
      <c r="K18" s="912">
        <f t="shared" si="10"/>
        <v>0</v>
      </c>
      <c r="L18" s="912">
        <f t="shared" si="10"/>
        <v>0</v>
      </c>
      <c r="M18" s="912">
        <f t="shared" si="10"/>
        <v>0</v>
      </c>
      <c r="N18" s="913">
        <f t="shared" si="10"/>
        <v>0</v>
      </c>
      <c r="O18" s="915"/>
      <c r="P18" s="915"/>
      <c r="Q18" s="915"/>
      <c r="R18" s="915"/>
      <c r="S18" s="915"/>
      <c r="T18" s="915"/>
      <c r="U18" s="915"/>
      <c r="V18" s="915"/>
      <c r="W18" s="915"/>
      <c r="X18" s="915"/>
      <c r="Y18" s="915"/>
      <c r="Z18" s="915"/>
      <c r="AA18" s="915"/>
      <c r="AB18" s="915"/>
      <c r="AC18" s="915"/>
      <c r="AD18" s="915"/>
      <c r="AE18" s="915"/>
      <c r="AF18" s="915"/>
      <c r="AG18" s="915"/>
      <c r="AH18" s="915"/>
      <c r="AI18" s="915"/>
      <c r="AJ18" s="915"/>
      <c r="AK18" s="915"/>
      <c r="AL18" s="915"/>
      <c r="AM18" s="915"/>
    </row>
    <row r="19" spans="1:39" s="896" customFormat="1" ht="13.5" customHeight="1">
      <c r="A19" s="1294"/>
      <c r="B19" s="1295"/>
      <c r="C19" s="914" t="s">
        <v>2534</v>
      </c>
      <c r="D19" s="701"/>
      <c r="E19" s="910"/>
      <c r="F19" s="911">
        <f>SUM(G19:AM19)</f>
        <v>-12815</v>
      </c>
      <c r="G19" s="912">
        <f>IF($F$17=0,0,(IF(G17=0,INT(G18/$F18*$F17),0)))</f>
        <v>-12815</v>
      </c>
      <c r="H19" s="912">
        <f t="shared" ref="H19:N19" si="11">IF($F$17=0,0,(IF(H17=0,INT(H18/$F18*$F17),0)))</f>
        <v>0</v>
      </c>
      <c r="I19" s="912">
        <f t="shared" si="11"/>
        <v>0</v>
      </c>
      <c r="J19" s="912">
        <f t="shared" si="11"/>
        <v>0</v>
      </c>
      <c r="K19" s="912">
        <f t="shared" si="11"/>
        <v>0</v>
      </c>
      <c r="L19" s="912">
        <f t="shared" si="11"/>
        <v>0</v>
      </c>
      <c r="M19" s="912">
        <f t="shared" si="11"/>
        <v>0</v>
      </c>
      <c r="N19" s="913">
        <f t="shared" si="11"/>
        <v>0</v>
      </c>
      <c r="O19" s="915"/>
      <c r="P19" s="915"/>
      <c r="Q19" s="915"/>
      <c r="R19" s="915"/>
      <c r="S19" s="915"/>
      <c r="T19" s="915"/>
      <c r="U19" s="915"/>
      <c r="V19" s="915"/>
      <c r="W19" s="915"/>
      <c r="X19" s="915"/>
      <c r="Y19" s="915"/>
      <c r="Z19" s="915"/>
      <c r="AA19" s="915"/>
      <c r="AB19" s="915"/>
      <c r="AC19" s="915"/>
      <c r="AD19" s="915"/>
      <c r="AE19" s="915"/>
      <c r="AF19" s="915"/>
      <c r="AG19" s="915"/>
      <c r="AH19" s="915"/>
      <c r="AI19" s="915"/>
      <c r="AJ19" s="915"/>
      <c r="AK19" s="915"/>
      <c r="AL19" s="915"/>
      <c r="AM19" s="915"/>
    </row>
    <row r="20" spans="1:39" s="896" customFormat="1" ht="13.5" customHeight="1">
      <c r="A20" s="1294"/>
      <c r="B20" s="1295"/>
      <c r="C20" s="916" t="s">
        <v>2535</v>
      </c>
      <c r="D20" s="701"/>
      <c r="E20" s="910"/>
      <c r="F20" s="911">
        <f>F17-F19</f>
        <v>0</v>
      </c>
      <c r="G20" s="917">
        <f>IF($F20=0,0,IF(G19=0,0,$F20))</f>
        <v>0</v>
      </c>
      <c r="H20" s="917">
        <f t="shared" ref="H20:N20" si="12">IF($F20=0,0,IF(H19=0,0,$F20))</f>
        <v>0</v>
      </c>
      <c r="I20" s="917">
        <f t="shared" si="12"/>
        <v>0</v>
      </c>
      <c r="J20" s="917">
        <f t="shared" si="12"/>
        <v>0</v>
      </c>
      <c r="K20" s="917">
        <f t="shared" si="12"/>
        <v>0</v>
      </c>
      <c r="L20" s="917">
        <f t="shared" si="12"/>
        <v>0</v>
      </c>
      <c r="M20" s="917">
        <f t="shared" si="12"/>
        <v>0</v>
      </c>
      <c r="N20" s="918">
        <f t="shared" si="12"/>
        <v>0</v>
      </c>
      <c r="O20" s="919"/>
      <c r="P20" s="919"/>
      <c r="Q20" s="919"/>
      <c r="R20" s="919"/>
      <c r="S20" s="919"/>
      <c r="T20" s="919"/>
      <c r="U20" s="919"/>
      <c r="V20" s="919"/>
      <c r="W20" s="919"/>
      <c r="X20" s="919"/>
      <c r="Y20" s="919"/>
      <c r="Z20" s="919"/>
      <c r="AA20" s="919"/>
      <c r="AB20" s="919"/>
      <c r="AC20" s="919"/>
      <c r="AD20" s="919"/>
      <c r="AE20" s="919"/>
      <c r="AF20" s="919"/>
      <c r="AG20" s="919"/>
      <c r="AH20" s="919"/>
      <c r="AI20" s="919"/>
      <c r="AJ20" s="919"/>
      <c r="AK20" s="919"/>
      <c r="AL20" s="919"/>
      <c r="AM20" s="919"/>
    </row>
    <row r="21" spans="1:39" s="896" customFormat="1" ht="13.5" customHeight="1">
      <c r="A21" s="1294"/>
      <c r="B21" s="1295"/>
      <c r="C21" s="914" t="s">
        <v>2536</v>
      </c>
      <c r="D21" s="701"/>
      <c r="E21" s="910"/>
      <c r="F21" s="911">
        <f>SUM(G21:AM21)</f>
        <v>76442</v>
      </c>
      <c r="G21" s="917">
        <f>IF(G43="",IF(AND(G14=0,G8=G84,G12="無し"),0,G16+G19+G20))</f>
        <v>76442</v>
      </c>
      <c r="H21" s="917">
        <f t="shared" ref="H21:N21" si="13">IF(H43="",IF(H14=0,IF(H8=H84,0,H16+H19+H20),H16+H19+H20),0)</f>
        <v>0</v>
      </c>
      <c r="I21" s="917">
        <f t="shared" si="13"/>
        <v>0</v>
      </c>
      <c r="J21" s="917">
        <f t="shared" si="13"/>
        <v>0</v>
      </c>
      <c r="K21" s="917">
        <f t="shared" si="13"/>
        <v>0</v>
      </c>
      <c r="L21" s="917">
        <f t="shared" si="13"/>
        <v>0</v>
      </c>
      <c r="M21" s="917">
        <f t="shared" si="13"/>
        <v>0</v>
      </c>
      <c r="N21" s="918">
        <f t="shared" si="13"/>
        <v>0</v>
      </c>
      <c r="O21" s="919"/>
      <c r="P21" s="919"/>
      <c r="Q21" s="919"/>
      <c r="R21" s="919"/>
      <c r="S21" s="919"/>
      <c r="T21" s="919"/>
      <c r="U21" s="919"/>
      <c r="V21" s="919"/>
      <c r="W21" s="919"/>
      <c r="X21" s="919"/>
      <c r="Y21" s="919"/>
      <c r="Z21" s="919"/>
      <c r="AA21" s="919"/>
      <c r="AB21" s="919"/>
      <c r="AC21" s="919"/>
      <c r="AD21" s="919"/>
      <c r="AE21" s="919"/>
      <c r="AF21" s="919"/>
      <c r="AG21" s="919"/>
      <c r="AH21" s="919"/>
      <c r="AI21" s="919"/>
      <c r="AJ21" s="919"/>
      <c r="AK21" s="919"/>
      <c r="AL21" s="919"/>
      <c r="AM21" s="919"/>
    </row>
    <row r="22" spans="1:39" s="896" customFormat="1" ht="14">
      <c r="A22" s="1294"/>
      <c r="B22" s="1295"/>
      <c r="C22" s="914" t="s">
        <v>2537</v>
      </c>
      <c r="D22" s="701"/>
      <c r="E22" s="910"/>
      <c r="F22" s="911">
        <f>SUM(G22:N22)</f>
        <v>0</v>
      </c>
      <c r="G22" s="920">
        <f>+工事2!I45</f>
        <v>0</v>
      </c>
      <c r="H22" s="920"/>
      <c r="I22" s="920"/>
      <c r="J22" s="920"/>
      <c r="K22" s="920"/>
      <c r="L22" s="920"/>
      <c r="M22" s="920"/>
      <c r="N22" s="921"/>
    </row>
    <row r="23" spans="1:39" s="896" customFormat="1" ht="13.5" customHeight="1">
      <c r="A23" s="1294"/>
      <c r="B23" s="1295"/>
      <c r="C23" s="922" t="s">
        <v>2538</v>
      </c>
      <c r="D23" s="701"/>
      <c r="E23" s="910"/>
      <c r="F23" s="911">
        <f>SUM(G23:N23)</f>
        <v>0</v>
      </c>
      <c r="G23" s="920"/>
      <c r="H23" s="920"/>
      <c r="I23" s="920"/>
      <c r="J23" s="920"/>
      <c r="K23" s="920"/>
      <c r="L23" s="920"/>
      <c r="M23" s="920"/>
      <c r="N23" s="921"/>
    </row>
    <row r="24" spans="1:39" s="896" customFormat="1" ht="14">
      <c r="A24" s="1294"/>
      <c r="B24" s="1295"/>
      <c r="C24" s="923" t="s">
        <v>2539</v>
      </c>
      <c r="D24" s="924"/>
      <c r="E24" s="925"/>
      <c r="F24" s="926">
        <f>SUM(G24:N24)</f>
        <v>0</v>
      </c>
      <c r="G24" s="927"/>
      <c r="H24" s="927"/>
      <c r="I24" s="927"/>
      <c r="J24" s="927"/>
      <c r="K24" s="927"/>
      <c r="L24" s="927"/>
      <c r="M24" s="927"/>
      <c r="N24" s="928"/>
    </row>
    <row r="25" spans="1:39" s="896" customFormat="1" ht="13.5" customHeight="1">
      <c r="A25" s="929" t="s">
        <v>2540</v>
      </c>
      <c r="B25" s="930"/>
      <c r="C25" s="931"/>
      <c r="D25" s="931"/>
      <c r="E25" s="932"/>
      <c r="F25" s="933"/>
      <c r="G25" s="934"/>
      <c r="H25" s="934"/>
      <c r="I25" s="934"/>
      <c r="J25" s="934"/>
      <c r="K25" s="934"/>
      <c r="L25" s="934"/>
      <c r="M25" s="934"/>
      <c r="N25" s="935"/>
    </row>
    <row r="26" spans="1:39" s="896" customFormat="1" ht="14">
      <c r="A26" s="2602"/>
      <c r="B26" s="2604" t="s">
        <v>2541</v>
      </c>
      <c r="C26" s="695" t="s">
        <v>2542</v>
      </c>
      <c r="D26" s="695"/>
      <c r="E26" s="882"/>
      <c r="F26" s="907">
        <f t="shared" ref="F26:F32" si="14">SUM(G26:N26)</f>
        <v>0</v>
      </c>
      <c r="G26" s="908"/>
      <c r="H26" s="908"/>
      <c r="I26" s="908">
        <f t="shared" ref="I26:N26" si="15">IF(I9="新営",I14-SUM(I28:I39)-I43-I42,0)</f>
        <v>0</v>
      </c>
      <c r="J26" s="908">
        <f t="shared" si="15"/>
        <v>0</v>
      </c>
      <c r="K26" s="908">
        <f t="shared" si="15"/>
        <v>0</v>
      </c>
      <c r="L26" s="908">
        <f t="shared" si="15"/>
        <v>0</v>
      </c>
      <c r="M26" s="908">
        <f t="shared" si="15"/>
        <v>0</v>
      </c>
      <c r="N26" s="909">
        <f t="shared" si="15"/>
        <v>0</v>
      </c>
    </row>
    <row r="27" spans="1:39" s="896" customFormat="1" ht="14">
      <c r="A27" s="2602"/>
      <c r="B27" s="2605"/>
      <c r="C27" s="702" t="s">
        <v>2543</v>
      </c>
      <c r="D27" s="702"/>
      <c r="E27" s="910"/>
      <c r="F27" s="911">
        <f t="shared" si="14"/>
        <v>2911000</v>
      </c>
      <c r="G27" s="912">
        <f>IF(G9="改修",G14-SUM(G28:G39)-G43-G42,0)</f>
        <v>2911000</v>
      </c>
      <c r="H27" s="912">
        <f t="shared" ref="H27:N27" si="16">IF(H9="改修",H14-SUM(H28:H39)-H43-H42,0)</f>
        <v>0</v>
      </c>
      <c r="I27" s="912">
        <f t="shared" si="16"/>
        <v>0</v>
      </c>
      <c r="J27" s="912">
        <f t="shared" si="16"/>
        <v>0</v>
      </c>
      <c r="K27" s="912">
        <f t="shared" si="16"/>
        <v>0</v>
      </c>
      <c r="L27" s="912">
        <f t="shared" si="16"/>
        <v>0</v>
      </c>
      <c r="M27" s="912">
        <f t="shared" si="16"/>
        <v>0</v>
      </c>
      <c r="N27" s="913">
        <f t="shared" si="16"/>
        <v>0</v>
      </c>
    </row>
    <row r="28" spans="1:39" s="896" customFormat="1" ht="14">
      <c r="A28" s="2602"/>
      <c r="B28" s="2605"/>
      <c r="C28" s="936" t="s">
        <v>2544</v>
      </c>
      <c r="D28" s="702"/>
      <c r="E28" s="910"/>
      <c r="F28" s="911">
        <f t="shared" si="14"/>
        <v>0</v>
      </c>
      <c r="G28" s="920"/>
      <c r="H28" s="920"/>
      <c r="I28" s="920"/>
      <c r="J28" s="920"/>
      <c r="K28" s="920"/>
      <c r="L28" s="920"/>
      <c r="M28" s="920"/>
      <c r="N28" s="921"/>
    </row>
    <row r="29" spans="1:39" s="896" customFormat="1" ht="14">
      <c r="A29" s="2602"/>
      <c r="B29" s="2606"/>
      <c r="C29" s="936" t="s">
        <v>2545</v>
      </c>
      <c r="D29" s="702"/>
      <c r="E29" s="910"/>
      <c r="F29" s="911">
        <f t="shared" si="14"/>
        <v>0</v>
      </c>
      <c r="G29" s="920"/>
      <c r="H29" s="920"/>
      <c r="I29" s="920"/>
      <c r="J29" s="920"/>
      <c r="K29" s="920"/>
      <c r="L29" s="920"/>
      <c r="M29" s="920"/>
      <c r="N29" s="921"/>
    </row>
    <row r="30" spans="1:39" s="896" customFormat="1" ht="13.5" customHeight="1">
      <c r="A30" s="2602"/>
      <c r="B30" s="2607" t="s">
        <v>2546</v>
      </c>
      <c r="C30" s="701" t="s">
        <v>2547</v>
      </c>
      <c r="D30" s="702"/>
      <c r="E30" s="910"/>
      <c r="F30" s="911">
        <f t="shared" si="14"/>
        <v>0</v>
      </c>
      <c r="G30" s="920"/>
      <c r="H30" s="920"/>
      <c r="I30" s="920"/>
      <c r="J30" s="920"/>
      <c r="K30" s="920"/>
      <c r="L30" s="920"/>
      <c r="M30" s="920"/>
      <c r="N30" s="921"/>
    </row>
    <row r="31" spans="1:39" s="896" customFormat="1" ht="14">
      <c r="A31" s="2602"/>
      <c r="B31" s="2605"/>
      <c r="C31" s="701" t="s">
        <v>2548</v>
      </c>
      <c r="D31" s="702"/>
      <c r="E31" s="910"/>
      <c r="F31" s="911">
        <f t="shared" si="14"/>
        <v>0</v>
      </c>
      <c r="G31" s="920"/>
      <c r="H31" s="920"/>
      <c r="I31" s="920"/>
      <c r="J31" s="920"/>
      <c r="K31" s="920"/>
      <c r="L31" s="920"/>
      <c r="M31" s="920"/>
      <c r="N31" s="921"/>
    </row>
    <row r="32" spans="1:39" s="896" customFormat="1" ht="14">
      <c r="A32" s="2602"/>
      <c r="B32" s="2605"/>
      <c r="C32" s="702" t="s">
        <v>2549</v>
      </c>
      <c r="D32" s="702"/>
      <c r="E32" s="910"/>
      <c r="F32" s="911">
        <f t="shared" si="14"/>
        <v>0</v>
      </c>
      <c r="G32" s="920"/>
      <c r="H32" s="920"/>
      <c r="I32" s="920"/>
      <c r="J32" s="920"/>
      <c r="K32" s="920"/>
      <c r="L32" s="920"/>
      <c r="M32" s="920"/>
      <c r="N32" s="921"/>
    </row>
    <row r="33" spans="1:14" s="896" customFormat="1" ht="13.5" customHeight="1">
      <c r="A33" s="2602"/>
      <c r="B33" s="2605"/>
      <c r="C33" s="702" t="s">
        <v>2550</v>
      </c>
      <c r="D33" s="702"/>
      <c r="E33" s="910"/>
      <c r="F33" s="911"/>
      <c r="G33" s="912"/>
      <c r="H33" s="912"/>
      <c r="I33" s="912"/>
      <c r="J33" s="912"/>
      <c r="K33" s="912"/>
      <c r="L33" s="912"/>
      <c r="M33" s="912"/>
      <c r="N33" s="913"/>
    </row>
    <row r="34" spans="1:14" s="896" customFormat="1" ht="14">
      <c r="A34" s="2602"/>
      <c r="B34" s="2605"/>
      <c r="C34" s="702" t="s">
        <v>2551</v>
      </c>
      <c r="D34" s="702"/>
      <c r="E34" s="910"/>
      <c r="F34" s="911"/>
      <c r="G34" s="912"/>
      <c r="H34" s="912"/>
      <c r="I34" s="912"/>
      <c r="J34" s="912"/>
      <c r="K34" s="912"/>
      <c r="L34" s="912"/>
      <c r="M34" s="912"/>
      <c r="N34" s="913"/>
    </row>
    <row r="35" spans="1:14" s="896" customFormat="1" ht="14">
      <c r="A35" s="2602"/>
      <c r="B35" s="2605"/>
      <c r="C35" s="702" t="s">
        <v>2552</v>
      </c>
      <c r="D35" s="702"/>
      <c r="E35" s="910"/>
      <c r="F35" s="911">
        <f t="shared" ref="F35:F45" si="17">SUM(G35:N35)</f>
        <v>0</v>
      </c>
      <c r="G35" s="920"/>
      <c r="H35" s="920"/>
      <c r="I35" s="920"/>
      <c r="J35" s="920"/>
      <c r="K35" s="920"/>
      <c r="L35" s="920"/>
      <c r="M35" s="920"/>
      <c r="N35" s="921"/>
    </row>
    <row r="36" spans="1:14" s="896" customFormat="1" ht="14">
      <c r="A36" s="2602"/>
      <c r="B36" s="2605"/>
      <c r="C36" s="937" t="s">
        <v>2553</v>
      </c>
      <c r="D36" s="702"/>
      <c r="E36" s="910"/>
      <c r="F36" s="911">
        <f t="shared" si="17"/>
        <v>0</v>
      </c>
      <c r="G36" s="920"/>
      <c r="H36" s="920"/>
      <c r="I36" s="920"/>
      <c r="J36" s="920"/>
      <c r="K36" s="920"/>
      <c r="L36" s="920"/>
      <c r="M36" s="920"/>
      <c r="N36" s="921"/>
    </row>
    <row r="37" spans="1:14" s="896" customFormat="1" ht="14">
      <c r="A37" s="2602"/>
      <c r="B37" s="2605"/>
      <c r="C37" s="938" t="s">
        <v>2554</v>
      </c>
      <c r="D37" s="702"/>
      <c r="E37" s="910"/>
      <c r="F37" s="911">
        <f t="shared" si="17"/>
        <v>0</v>
      </c>
      <c r="G37" s="920"/>
      <c r="H37" s="920"/>
      <c r="I37" s="920"/>
      <c r="J37" s="920"/>
      <c r="K37" s="920"/>
      <c r="L37" s="920"/>
      <c r="M37" s="920"/>
      <c r="N37" s="921"/>
    </row>
    <row r="38" spans="1:14" s="896" customFormat="1" ht="14">
      <c r="A38" s="2602"/>
      <c r="B38" s="2606"/>
      <c r="C38" s="702" t="s">
        <v>2555</v>
      </c>
      <c r="D38" s="702"/>
      <c r="E38" s="910"/>
      <c r="F38" s="911">
        <f t="shared" si="17"/>
        <v>0</v>
      </c>
      <c r="G38" s="920"/>
      <c r="H38" s="920"/>
      <c r="I38" s="920"/>
      <c r="J38" s="920"/>
      <c r="K38" s="920"/>
      <c r="L38" s="920"/>
      <c r="M38" s="920"/>
      <c r="N38" s="921"/>
    </row>
    <row r="39" spans="1:14" s="896" customFormat="1" ht="14">
      <c r="A39" s="2602"/>
      <c r="B39" s="2607" t="s">
        <v>2556</v>
      </c>
      <c r="C39" s="936" t="s">
        <v>2557</v>
      </c>
      <c r="D39" s="702"/>
      <c r="E39" s="910"/>
      <c r="F39" s="911">
        <f t="shared" si="17"/>
        <v>0</v>
      </c>
      <c r="G39" s="920"/>
      <c r="H39" s="920"/>
      <c r="I39" s="920"/>
      <c r="J39" s="920"/>
      <c r="K39" s="920"/>
      <c r="L39" s="920"/>
      <c r="M39" s="920"/>
      <c r="N39" s="921"/>
    </row>
    <row r="40" spans="1:14" s="896" customFormat="1" ht="14">
      <c r="A40" s="2602"/>
      <c r="B40" s="2605"/>
      <c r="C40" s="936" t="s">
        <v>2558</v>
      </c>
      <c r="D40" s="702"/>
      <c r="E40" s="910"/>
      <c r="F40" s="911">
        <f t="shared" si="17"/>
        <v>0</v>
      </c>
      <c r="G40" s="912">
        <f t="shared" ref="G40:N40" si="18">+G24</f>
        <v>0</v>
      </c>
      <c r="H40" s="912">
        <f t="shared" si="18"/>
        <v>0</v>
      </c>
      <c r="I40" s="912">
        <f t="shared" si="18"/>
        <v>0</v>
      </c>
      <c r="J40" s="912">
        <f t="shared" si="18"/>
        <v>0</v>
      </c>
      <c r="K40" s="912">
        <f t="shared" si="18"/>
        <v>0</v>
      </c>
      <c r="L40" s="912">
        <f t="shared" si="18"/>
        <v>0</v>
      </c>
      <c r="M40" s="912">
        <f t="shared" si="18"/>
        <v>0</v>
      </c>
      <c r="N40" s="913">
        <f t="shared" si="18"/>
        <v>0</v>
      </c>
    </row>
    <row r="41" spans="1:14" s="896" customFormat="1" ht="14">
      <c r="A41" s="2602"/>
      <c r="B41" s="2605"/>
      <c r="C41" s="702" t="s">
        <v>2559</v>
      </c>
      <c r="D41" s="702"/>
      <c r="E41" s="910"/>
      <c r="F41" s="911">
        <f t="shared" si="17"/>
        <v>0</v>
      </c>
      <c r="G41" s="912">
        <f t="shared" ref="G41:N41" si="19">+G23</f>
        <v>0</v>
      </c>
      <c r="H41" s="912">
        <f t="shared" si="19"/>
        <v>0</v>
      </c>
      <c r="I41" s="912">
        <f t="shared" si="19"/>
        <v>0</v>
      </c>
      <c r="J41" s="912">
        <f t="shared" si="19"/>
        <v>0</v>
      </c>
      <c r="K41" s="912">
        <f t="shared" si="19"/>
        <v>0</v>
      </c>
      <c r="L41" s="912">
        <f t="shared" si="19"/>
        <v>0</v>
      </c>
      <c r="M41" s="912">
        <f t="shared" si="19"/>
        <v>0</v>
      </c>
      <c r="N41" s="913">
        <f t="shared" si="19"/>
        <v>0</v>
      </c>
    </row>
    <row r="42" spans="1:14" s="896" customFormat="1" ht="14">
      <c r="A42" s="2602"/>
      <c r="B42" s="2605"/>
      <c r="C42" s="702" t="s">
        <v>2560</v>
      </c>
      <c r="D42" s="702"/>
      <c r="E42" s="910"/>
      <c r="F42" s="911">
        <f t="shared" si="17"/>
        <v>0</v>
      </c>
      <c r="G42" s="920"/>
      <c r="H42" s="920"/>
      <c r="I42" s="920"/>
      <c r="J42" s="920"/>
      <c r="K42" s="920"/>
      <c r="L42" s="920"/>
      <c r="M42" s="920"/>
      <c r="N42" s="921"/>
    </row>
    <row r="43" spans="1:14" s="896" customFormat="1" ht="13.5" customHeight="1">
      <c r="A43" s="2602"/>
      <c r="B43" s="2605"/>
      <c r="C43" s="939" t="s">
        <v>2561</v>
      </c>
      <c r="D43" s="940"/>
      <c r="E43" s="941"/>
      <c r="F43" s="911">
        <f t="shared" si="17"/>
        <v>0</v>
      </c>
      <c r="G43" s="942"/>
      <c r="H43" s="942"/>
      <c r="I43" s="942"/>
      <c r="J43" s="942"/>
      <c r="K43" s="942"/>
      <c r="L43" s="942"/>
      <c r="M43" s="942"/>
      <c r="N43" s="943"/>
    </row>
    <row r="44" spans="1:14" s="896" customFormat="1" ht="14">
      <c r="A44" s="2602"/>
      <c r="B44" s="2605"/>
      <c r="C44" s="939" t="s">
        <v>2562</v>
      </c>
      <c r="D44" s="940"/>
      <c r="E44" s="941"/>
      <c r="F44" s="911">
        <f t="shared" si="17"/>
        <v>0</v>
      </c>
      <c r="G44" s="942"/>
      <c r="H44" s="942"/>
      <c r="I44" s="942"/>
      <c r="J44" s="942"/>
      <c r="K44" s="942"/>
      <c r="L44" s="942"/>
      <c r="M44" s="942"/>
      <c r="N44" s="943"/>
    </row>
    <row r="45" spans="1:14" s="896" customFormat="1" ht="14">
      <c r="A45" s="2603"/>
      <c r="B45" s="2608"/>
      <c r="C45" s="944" t="s">
        <v>2563</v>
      </c>
      <c r="D45" s="944"/>
      <c r="E45" s="945"/>
      <c r="F45" s="946">
        <f t="shared" si="17"/>
        <v>0</v>
      </c>
      <c r="G45" s="947"/>
      <c r="H45" s="947"/>
      <c r="I45" s="947"/>
      <c r="J45" s="947"/>
      <c r="K45" s="947"/>
      <c r="L45" s="947"/>
      <c r="M45" s="947"/>
      <c r="N45" s="948"/>
    </row>
    <row r="46" spans="1:14" s="846" customFormat="1" ht="13.5" customHeight="1">
      <c r="A46" s="2586" t="s">
        <v>2564</v>
      </c>
      <c r="B46" s="2587"/>
      <c r="C46" s="2588"/>
      <c r="D46" s="949"/>
      <c r="E46" s="950"/>
      <c r="F46" s="951"/>
      <c r="G46" s="952"/>
      <c r="H46" s="952"/>
      <c r="I46" s="952"/>
      <c r="J46" s="952"/>
      <c r="K46" s="952"/>
      <c r="L46" s="952"/>
      <c r="M46" s="952"/>
      <c r="N46" s="953"/>
    </row>
    <row r="47" spans="1:14" s="959" customFormat="1" ht="14">
      <c r="A47" s="2589"/>
      <c r="B47" s="2590" t="s">
        <v>2541</v>
      </c>
      <c r="C47" s="954" t="s">
        <v>2542</v>
      </c>
      <c r="D47" s="955"/>
      <c r="E47" s="956"/>
      <c r="F47" s="957">
        <f>+F414-F198</f>
        <v>0</v>
      </c>
      <c r="G47" s="957">
        <f t="shared" ref="G47:N47" si="20">+G414-G198</f>
        <v>0</v>
      </c>
      <c r="H47" s="957">
        <f t="shared" si="20"/>
        <v>0</v>
      </c>
      <c r="I47" s="957">
        <f t="shared" si="20"/>
        <v>0</v>
      </c>
      <c r="J47" s="957">
        <f t="shared" si="20"/>
        <v>0</v>
      </c>
      <c r="K47" s="957">
        <f t="shared" si="20"/>
        <v>0</v>
      </c>
      <c r="L47" s="957">
        <f t="shared" si="20"/>
        <v>0</v>
      </c>
      <c r="M47" s="957">
        <f t="shared" si="20"/>
        <v>0</v>
      </c>
      <c r="N47" s="958">
        <f t="shared" si="20"/>
        <v>0</v>
      </c>
    </row>
    <row r="48" spans="1:14" s="959" customFormat="1" ht="14">
      <c r="A48" s="2589"/>
      <c r="B48" s="2591"/>
      <c r="C48" s="960" t="s">
        <v>2543</v>
      </c>
      <c r="D48" s="955"/>
      <c r="E48" s="956"/>
      <c r="F48" s="957">
        <f t="shared" ref="F48:N53" si="21">F416-F200</f>
        <v>272041</v>
      </c>
      <c r="G48" s="957">
        <f t="shared" si="21"/>
        <v>331817</v>
      </c>
      <c r="H48" s="957">
        <f t="shared" si="21"/>
        <v>-17341</v>
      </c>
      <c r="I48" s="957">
        <f t="shared" si="21"/>
        <v>-42435</v>
      </c>
      <c r="J48" s="957">
        <f t="shared" si="21"/>
        <v>0</v>
      </c>
      <c r="K48" s="957">
        <f t="shared" si="21"/>
        <v>0</v>
      </c>
      <c r="L48" s="957">
        <f t="shared" si="21"/>
        <v>0</v>
      </c>
      <c r="M48" s="957">
        <f t="shared" si="21"/>
        <v>0</v>
      </c>
      <c r="N48" s="958">
        <f t="shared" si="21"/>
        <v>0</v>
      </c>
    </row>
    <row r="49" spans="1:14" s="959" customFormat="1" ht="14">
      <c r="A49" s="2589"/>
      <c r="B49" s="2591"/>
      <c r="C49" s="960" t="s">
        <v>2565</v>
      </c>
      <c r="D49" s="955"/>
      <c r="E49" s="961"/>
      <c r="F49" s="957">
        <f t="shared" si="21"/>
        <v>0</v>
      </c>
      <c r="G49" s="957">
        <f t="shared" si="21"/>
        <v>0</v>
      </c>
      <c r="H49" s="957">
        <f t="shared" si="21"/>
        <v>0</v>
      </c>
      <c r="I49" s="957">
        <f t="shared" si="21"/>
        <v>0</v>
      </c>
      <c r="J49" s="957">
        <f t="shared" si="21"/>
        <v>0</v>
      </c>
      <c r="K49" s="957">
        <f t="shared" si="21"/>
        <v>0</v>
      </c>
      <c r="L49" s="957">
        <f t="shared" si="21"/>
        <v>0</v>
      </c>
      <c r="M49" s="957">
        <f t="shared" si="21"/>
        <v>0</v>
      </c>
      <c r="N49" s="958">
        <f t="shared" si="21"/>
        <v>0</v>
      </c>
    </row>
    <row r="50" spans="1:14" s="959" customFormat="1" ht="14">
      <c r="A50" s="2589"/>
      <c r="B50" s="2592"/>
      <c r="C50" s="960" t="s">
        <v>2566</v>
      </c>
      <c r="D50" s="955"/>
      <c r="E50" s="961"/>
      <c r="F50" s="957">
        <f t="shared" si="21"/>
        <v>0</v>
      </c>
      <c r="G50" s="957">
        <f t="shared" si="21"/>
        <v>0</v>
      </c>
      <c r="H50" s="957">
        <f t="shared" si="21"/>
        <v>0</v>
      </c>
      <c r="I50" s="957">
        <f t="shared" si="21"/>
        <v>0</v>
      </c>
      <c r="J50" s="957">
        <f t="shared" si="21"/>
        <v>0</v>
      </c>
      <c r="K50" s="957">
        <f t="shared" si="21"/>
        <v>0</v>
      </c>
      <c r="L50" s="957">
        <f t="shared" si="21"/>
        <v>0</v>
      </c>
      <c r="M50" s="957">
        <f t="shared" si="21"/>
        <v>0</v>
      </c>
      <c r="N50" s="958">
        <f t="shared" si="21"/>
        <v>0</v>
      </c>
    </row>
    <row r="51" spans="1:14" s="959" customFormat="1" ht="14">
      <c r="A51" s="2589"/>
      <c r="B51" s="2593" t="s">
        <v>2567</v>
      </c>
      <c r="C51" s="960" t="s">
        <v>2568</v>
      </c>
      <c r="D51" s="955">
        <v>1</v>
      </c>
      <c r="E51" s="961">
        <v>0.02</v>
      </c>
      <c r="F51" s="957">
        <f t="shared" si="21"/>
        <v>0</v>
      </c>
      <c r="G51" s="957">
        <f t="shared" si="21"/>
        <v>0</v>
      </c>
      <c r="H51" s="957">
        <f t="shared" si="21"/>
        <v>0</v>
      </c>
      <c r="I51" s="957">
        <f t="shared" si="21"/>
        <v>0</v>
      </c>
      <c r="J51" s="957">
        <f t="shared" si="21"/>
        <v>0</v>
      </c>
      <c r="K51" s="957">
        <f t="shared" si="21"/>
        <v>0</v>
      </c>
      <c r="L51" s="957">
        <f t="shared" si="21"/>
        <v>0</v>
      </c>
      <c r="M51" s="957">
        <f t="shared" si="21"/>
        <v>0</v>
      </c>
      <c r="N51" s="958">
        <f t="shared" si="21"/>
        <v>0</v>
      </c>
    </row>
    <row r="52" spans="1:14" s="959" customFormat="1" ht="14">
      <c r="A52" s="2589"/>
      <c r="B52" s="2591"/>
      <c r="C52" s="960" t="s">
        <v>2548</v>
      </c>
      <c r="D52" s="955">
        <v>1</v>
      </c>
      <c r="E52" s="961">
        <v>0.02</v>
      </c>
      <c r="F52" s="957">
        <f t="shared" si="21"/>
        <v>0</v>
      </c>
      <c r="G52" s="957">
        <f t="shared" si="21"/>
        <v>0</v>
      </c>
      <c r="H52" s="957">
        <f t="shared" si="21"/>
        <v>0</v>
      </c>
      <c r="I52" s="957">
        <f t="shared" si="21"/>
        <v>0</v>
      </c>
      <c r="J52" s="957">
        <f t="shared" si="21"/>
        <v>0</v>
      </c>
      <c r="K52" s="957">
        <f t="shared" si="21"/>
        <v>0</v>
      </c>
      <c r="L52" s="957">
        <f t="shared" si="21"/>
        <v>0</v>
      </c>
      <c r="M52" s="957">
        <f t="shared" si="21"/>
        <v>0</v>
      </c>
      <c r="N52" s="958">
        <f t="shared" si="21"/>
        <v>0</v>
      </c>
    </row>
    <row r="53" spans="1:14" s="959" customFormat="1" ht="14">
      <c r="A53" s="2589"/>
      <c r="B53" s="2591"/>
      <c r="C53" s="960" t="s">
        <v>2549</v>
      </c>
      <c r="D53" s="955">
        <v>1</v>
      </c>
      <c r="E53" s="961">
        <v>0.02</v>
      </c>
      <c r="F53" s="957">
        <f t="shared" si="21"/>
        <v>0</v>
      </c>
      <c r="G53" s="957">
        <f t="shared" si="21"/>
        <v>0</v>
      </c>
      <c r="H53" s="957">
        <f t="shared" si="21"/>
        <v>0</v>
      </c>
      <c r="I53" s="957">
        <f t="shared" si="21"/>
        <v>0</v>
      </c>
      <c r="J53" s="957">
        <f t="shared" si="21"/>
        <v>0</v>
      </c>
      <c r="K53" s="957">
        <f t="shared" si="21"/>
        <v>0</v>
      </c>
      <c r="L53" s="957">
        <f t="shared" si="21"/>
        <v>0</v>
      </c>
      <c r="M53" s="957">
        <f t="shared" si="21"/>
        <v>0</v>
      </c>
      <c r="N53" s="958">
        <f t="shared" si="21"/>
        <v>0</v>
      </c>
    </row>
    <row r="54" spans="1:14" s="959" customFormat="1" ht="14">
      <c r="A54" s="2589"/>
      <c r="B54" s="2591"/>
      <c r="C54" s="960" t="s">
        <v>2552</v>
      </c>
      <c r="D54" s="955">
        <v>1</v>
      </c>
      <c r="E54" s="961">
        <v>0.02</v>
      </c>
      <c r="F54" s="957">
        <f>F424-F208</f>
        <v>0</v>
      </c>
      <c r="G54" s="957">
        <f t="shared" ref="G54:N54" si="22">G424-G208</f>
        <v>0</v>
      </c>
      <c r="H54" s="957">
        <f t="shared" si="22"/>
        <v>0</v>
      </c>
      <c r="I54" s="957">
        <f t="shared" si="22"/>
        <v>0</v>
      </c>
      <c r="J54" s="957">
        <f t="shared" si="22"/>
        <v>0</v>
      </c>
      <c r="K54" s="957">
        <f t="shared" si="22"/>
        <v>0</v>
      </c>
      <c r="L54" s="957">
        <f t="shared" si="22"/>
        <v>0</v>
      </c>
      <c r="M54" s="957">
        <f t="shared" si="22"/>
        <v>0</v>
      </c>
      <c r="N54" s="958">
        <f t="shared" si="22"/>
        <v>0</v>
      </c>
    </row>
    <row r="55" spans="1:14" s="959" customFormat="1" ht="14">
      <c r="A55" s="2589"/>
      <c r="B55" s="2591"/>
      <c r="C55" s="962" t="s">
        <v>2569</v>
      </c>
      <c r="D55" s="955"/>
      <c r="E55" s="961"/>
      <c r="F55" s="957"/>
      <c r="G55" s="917"/>
      <c r="H55" s="917"/>
      <c r="I55" s="917"/>
      <c r="J55" s="917"/>
      <c r="K55" s="917"/>
      <c r="L55" s="917"/>
      <c r="M55" s="917"/>
      <c r="N55" s="918"/>
    </row>
    <row r="56" spans="1:14" s="959" customFormat="1" ht="14">
      <c r="A56" s="2589"/>
      <c r="B56" s="2591"/>
      <c r="C56" s="962" t="s">
        <v>2570</v>
      </c>
      <c r="D56" s="955"/>
      <c r="E56" s="961"/>
      <c r="F56" s="957"/>
      <c r="G56" s="917"/>
      <c r="H56" s="917"/>
      <c r="I56" s="917"/>
      <c r="J56" s="917"/>
      <c r="K56" s="917"/>
      <c r="L56" s="917"/>
      <c r="M56" s="917"/>
      <c r="N56" s="918"/>
    </row>
    <row r="57" spans="1:14" s="959" customFormat="1" ht="14">
      <c r="A57" s="2589"/>
      <c r="B57" s="2592"/>
      <c r="C57" s="960" t="s">
        <v>2555</v>
      </c>
      <c r="D57" s="955">
        <v>1</v>
      </c>
      <c r="E57" s="961">
        <v>0.02</v>
      </c>
      <c r="F57" s="957">
        <f>F427-F211</f>
        <v>0</v>
      </c>
      <c r="G57" s="957">
        <f t="shared" ref="G57:N57" si="23">G427-G211</f>
        <v>0</v>
      </c>
      <c r="H57" s="957">
        <f t="shared" si="23"/>
        <v>0</v>
      </c>
      <c r="I57" s="957">
        <f t="shared" si="23"/>
        <v>0</v>
      </c>
      <c r="J57" s="957">
        <f t="shared" si="23"/>
        <v>0</v>
      </c>
      <c r="K57" s="957">
        <f t="shared" si="23"/>
        <v>0</v>
      </c>
      <c r="L57" s="957">
        <f t="shared" si="23"/>
        <v>0</v>
      </c>
      <c r="M57" s="957">
        <f t="shared" si="23"/>
        <v>0</v>
      </c>
      <c r="N57" s="958">
        <f t="shared" si="23"/>
        <v>0</v>
      </c>
    </row>
    <row r="58" spans="1:14" s="959" customFormat="1" ht="14">
      <c r="A58" s="2589"/>
      <c r="B58" s="963" t="s">
        <v>2571</v>
      </c>
      <c r="C58" s="964" t="s">
        <v>2572</v>
      </c>
      <c r="D58" s="955">
        <v>1</v>
      </c>
      <c r="E58" s="961">
        <v>0</v>
      </c>
      <c r="F58" s="957">
        <f>F430-F214</f>
        <v>0</v>
      </c>
      <c r="G58" s="957">
        <f t="shared" ref="G58:N58" si="24">G430-G214</f>
        <v>0</v>
      </c>
      <c r="H58" s="957">
        <f t="shared" si="24"/>
        <v>0</v>
      </c>
      <c r="I58" s="957">
        <f t="shared" si="24"/>
        <v>0</v>
      </c>
      <c r="J58" s="957">
        <f t="shared" si="24"/>
        <v>0</v>
      </c>
      <c r="K58" s="957">
        <f t="shared" si="24"/>
        <v>0</v>
      </c>
      <c r="L58" s="957">
        <f t="shared" si="24"/>
        <v>0</v>
      </c>
      <c r="M58" s="957">
        <f t="shared" si="24"/>
        <v>0</v>
      </c>
      <c r="N58" s="958">
        <f t="shared" si="24"/>
        <v>0</v>
      </c>
    </row>
    <row r="59" spans="1:14" s="846" customFormat="1" ht="14">
      <c r="A59" s="2589"/>
      <c r="B59" s="965" t="s">
        <v>2573</v>
      </c>
      <c r="C59" s="966" t="s">
        <v>2574</v>
      </c>
      <c r="D59" s="955">
        <v>1</v>
      </c>
      <c r="E59" s="961"/>
      <c r="F59" s="957">
        <f>SUM(G59:N59)</f>
        <v>0</v>
      </c>
      <c r="G59" s="942"/>
      <c r="H59" s="942"/>
      <c r="I59" s="942"/>
      <c r="J59" s="942"/>
      <c r="K59" s="942"/>
      <c r="L59" s="942"/>
      <c r="M59" s="942"/>
      <c r="N59" s="943"/>
    </row>
    <row r="60" spans="1:14" s="846" customFormat="1" ht="14">
      <c r="A60" s="2589"/>
      <c r="B60" s="967" t="s">
        <v>2575</v>
      </c>
      <c r="C60" s="968" t="s">
        <v>2576</v>
      </c>
      <c r="D60" s="969">
        <v>1</v>
      </c>
      <c r="E60" s="970"/>
      <c r="F60" s="971"/>
      <c r="G60" s="972"/>
      <c r="H60" s="972"/>
      <c r="I60" s="972"/>
      <c r="J60" s="972"/>
      <c r="K60" s="972"/>
      <c r="L60" s="972"/>
      <c r="M60" s="972"/>
      <c r="N60" s="973"/>
    </row>
    <row r="61" spans="1:14" s="846" customFormat="1" ht="14">
      <c r="A61" s="974"/>
      <c r="B61" s="2594" t="s">
        <v>2577</v>
      </c>
      <c r="C61" s="2595"/>
      <c r="D61" s="975"/>
      <c r="E61" s="976"/>
      <c r="F61" s="977">
        <f>SUM(G61:N61)</f>
        <v>272041</v>
      </c>
      <c r="G61" s="978">
        <f>SUM(G47:G60)</f>
        <v>331817</v>
      </c>
      <c r="H61" s="978">
        <f t="shared" ref="H61:N61" si="25">SUM(H47:H60)</f>
        <v>-17341</v>
      </c>
      <c r="I61" s="978">
        <f t="shared" si="25"/>
        <v>-42435</v>
      </c>
      <c r="J61" s="978">
        <f t="shared" si="25"/>
        <v>0</v>
      </c>
      <c r="K61" s="978">
        <f t="shared" si="25"/>
        <v>0</v>
      </c>
      <c r="L61" s="978">
        <f t="shared" si="25"/>
        <v>0</v>
      </c>
      <c r="M61" s="978">
        <f t="shared" si="25"/>
        <v>0</v>
      </c>
      <c r="N61" s="979">
        <f t="shared" si="25"/>
        <v>0</v>
      </c>
    </row>
    <row r="62" spans="1:14" s="846" customFormat="1" ht="14" hidden="1">
      <c r="A62" s="974"/>
      <c r="B62" s="2594" t="s">
        <v>2578</v>
      </c>
      <c r="C62" s="2595"/>
      <c r="D62" s="975"/>
      <c r="E62" s="976"/>
      <c r="F62" s="977">
        <f>SUM(G62:N62)</f>
        <v>-59776</v>
      </c>
      <c r="G62" s="980">
        <f>IF(G59="",IF(G14+G22=0,IF(G8=G84,G61,0),0),0)</f>
        <v>0</v>
      </c>
      <c r="H62" s="980">
        <f t="shared" ref="H62:N62" si="26">IF(H59="",IF(H14+H22=0,IF(H8=H84,H61,0),0),0)</f>
        <v>-17341</v>
      </c>
      <c r="I62" s="980">
        <f t="shared" si="26"/>
        <v>-42435</v>
      </c>
      <c r="J62" s="980">
        <f t="shared" si="26"/>
        <v>0</v>
      </c>
      <c r="K62" s="980">
        <f t="shared" si="26"/>
        <v>0</v>
      </c>
      <c r="L62" s="980">
        <f t="shared" si="26"/>
        <v>0</v>
      </c>
      <c r="M62" s="980">
        <f t="shared" si="26"/>
        <v>0</v>
      </c>
      <c r="N62" s="980">
        <f t="shared" si="26"/>
        <v>0</v>
      </c>
    </row>
    <row r="63" spans="1:14" s="846" customFormat="1" ht="13.5" hidden="1" customHeight="1">
      <c r="A63" s="974"/>
      <c r="B63" s="2594" t="s">
        <v>2579</v>
      </c>
      <c r="C63" s="2595"/>
      <c r="D63" s="975"/>
      <c r="E63" s="976"/>
      <c r="F63" s="977">
        <f>SUM(G63:N63)</f>
        <v>2987442</v>
      </c>
      <c r="G63" s="981">
        <f t="shared" ref="G63:N63" si="27">G13-(G43+G44)</f>
        <v>2987442</v>
      </c>
      <c r="H63" s="981">
        <f t="shared" si="27"/>
        <v>0</v>
      </c>
      <c r="I63" s="981">
        <f t="shared" si="27"/>
        <v>0</v>
      </c>
      <c r="J63" s="981">
        <f t="shared" si="27"/>
        <v>0</v>
      </c>
      <c r="K63" s="981">
        <f t="shared" si="27"/>
        <v>0</v>
      </c>
      <c r="L63" s="981">
        <f t="shared" si="27"/>
        <v>0</v>
      </c>
      <c r="M63" s="981">
        <f t="shared" si="27"/>
        <v>0</v>
      </c>
      <c r="N63" s="981">
        <f t="shared" si="27"/>
        <v>0</v>
      </c>
    </row>
    <row r="64" spans="1:14" s="846" customFormat="1" ht="14" hidden="1">
      <c r="A64" s="974"/>
      <c r="B64" s="2594" t="s">
        <v>2580</v>
      </c>
      <c r="C64" s="2595"/>
      <c r="D64" s="975"/>
      <c r="E64" s="976"/>
      <c r="F64" s="977">
        <f>SUM(G64:N64)</f>
        <v>-59776</v>
      </c>
      <c r="G64" s="978">
        <f>IF($F$62=0,0,(IF(G62=0,INT(G63/$F63*$F62),0)))</f>
        <v>-59776</v>
      </c>
      <c r="H64" s="978">
        <f t="shared" ref="H64:N64" si="28">IF($F$62=0,0,(IF(H62=0,INT(H63/$F63*$F62),0)))</f>
        <v>0</v>
      </c>
      <c r="I64" s="978">
        <f t="shared" si="28"/>
        <v>0</v>
      </c>
      <c r="J64" s="978">
        <f t="shared" si="28"/>
        <v>0</v>
      </c>
      <c r="K64" s="978">
        <f t="shared" si="28"/>
        <v>0</v>
      </c>
      <c r="L64" s="978">
        <f t="shared" si="28"/>
        <v>0</v>
      </c>
      <c r="M64" s="978">
        <f t="shared" si="28"/>
        <v>0</v>
      </c>
      <c r="N64" s="978">
        <f t="shared" si="28"/>
        <v>0</v>
      </c>
    </row>
    <row r="65" spans="1:14" s="846" customFormat="1" ht="14" hidden="1">
      <c r="A65" s="974"/>
      <c r="B65" s="2594" t="s">
        <v>2581</v>
      </c>
      <c r="C65" s="2595"/>
      <c r="D65" s="975"/>
      <c r="E65" s="976"/>
      <c r="F65" s="977">
        <f>F62-F64</f>
        <v>0</v>
      </c>
      <c r="G65" s="978">
        <f>IF($F65=0,0,IF(G64=0,0,$F65))</f>
        <v>0</v>
      </c>
      <c r="H65" s="978">
        <f>IF($F65=0,0,IF(H64=0,0,IF(SUM($G65:G65)=0,$F65,0)))</f>
        <v>0</v>
      </c>
      <c r="I65" s="978">
        <f>IF($F65=0,0,IF(I64=0,0,IF(SUM($G65:H65)=0,$F65,0)))</f>
        <v>0</v>
      </c>
      <c r="J65" s="978">
        <f>IF($F65=0,0,IF(J64=0,0,IF(SUM($G65:I65)=0,$F65,0)))</f>
        <v>0</v>
      </c>
      <c r="K65" s="978">
        <f>IF($F65=0,0,IF(K64=0,0,IF(SUM($G65:J65)=0,$F65,0)))</f>
        <v>0</v>
      </c>
      <c r="L65" s="978">
        <f>IF($F65=0,0,IF(L64=0,0,IF(SUM($G65:K65)=0,$F65,0)))</f>
        <v>0</v>
      </c>
      <c r="M65" s="978">
        <f>IF($F65=0,0,IF(M64=0,0,IF(SUM($G65:L65)=0,$F65,0)))</f>
        <v>0</v>
      </c>
      <c r="N65" s="978">
        <f>IF($F65=0,0,IF(N64=0,0,IF(SUM($G65:M65)=0,$F65,0)))</f>
        <v>0</v>
      </c>
    </row>
    <row r="66" spans="1:14" s="846" customFormat="1" ht="13.5" customHeight="1">
      <c r="A66" s="974"/>
      <c r="B66" s="2612" t="s">
        <v>2582</v>
      </c>
      <c r="C66" s="2613"/>
      <c r="D66" s="982"/>
      <c r="E66" s="983"/>
      <c r="F66" s="977">
        <f>SUM(G66:N66)</f>
        <v>272041</v>
      </c>
      <c r="G66" s="984">
        <f>IF(G59="",IF(G14+G22=0,IF(G8=G84,0,G61+G64+G65),G61+G64+G65),G59)</f>
        <v>272041</v>
      </c>
      <c r="H66" s="984">
        <f t="shared" ref="H66:N66" si="29">IF(H59="",IF(H14+H22=0,IF(H8=H84,0,H61+H64+H65),H61+H64+H65),H59)</f>
        <v>0</v>
      </c>
      <c r="I66" s="984">
        <f t="shared" si="29"/>
        <v>0</v>
      </c>
      <c r="J66" s="984">
        <f t="shared" si="29"/>
        <v>0</v>
      </c>
      <c r="K66" s="984">
        <f t="shared" si="29"/>
        <v>0</v>
      </c>
      <c r="L66" s="984">
        <f t="shared" si="29"/>
        <v>0</v>
      </c>
      <c r="M66" s="984">
        <f t="shared" si="29"/>
        <v>0</v>
      </c>
      <c r="N66" s="984">
        <f t="shared" si="29"/>
        <v>0</v>
      </c>
    </row>
    <row r="67" spans="1:14" s="846" customFormat="1" ht="14">
      <c r="A67" s="985" t="s">
        <v>2583</v>
      </c>
      <c r="B67" s="986"/>
      <c r="C67" s="986"/>
      <c r="D67" s="987"/>
      <c r="E67" s="988" t="s">
        <v>2584</v>
      </c>
      <c r="F67" s="989">
        <f>SUM(G67:N67)</f>
        <v>3259483</v>
      </c>
      <c r="G67" s="990">
        <f t="shared" ref="G67:N67" si="30">G13-G45+G66</f>
        <v>3259483</v>
      </c>
      <c r="H67" s="990">
        <f t="shared" si="30"/>
        <v>0</v>
      </c>
      <c r="I67" s="990">
        <f t="shared" si="30"/>
        <v>0</v>
      </c>
      <c r="J67" s="990">
        <f t="shared" si="30"/>
        <v>0</v>
      </c>
      <c r="K67" s="990">
        <f t="shared" si="30"/>
        <v>0</v>
      </c>
      <c r="L67" s="990">
        <f t="shared" si="30"/>
        <v>0</v>
      </c>
      <c r="M67" s="990">
        <f t="shared" si="30"/>
        <v>0</v>
      </c>
      <c r="N67" s="990">
        <f t="shared" si="30"/>
        <v>0</v>
      </c>
    </row>
    <row r="68" spans="1:14" s="846" customFormat="1" ht="14">
      <c r="A68" s="991"/>
      <c r="B68" s="2614" t="s">
        <v>2585</v>
      </c>
      <c r="C68" s="2615"/>
      <c r="D68" s="992"/>
      <c r="E68" s="993"/>
      <c r="F68" s="994"/>
      <c r="G68" s="995"/>
      <c r="H68" s="995"/>
      <c r="I68" s="995"/>
      <c r="J68" s="995"/>
      <c r="K68" s="995"/>
      <c r="L68" s="995"/>
      <c r="M68" s="995"/>
      <c r="N68" s="996"/>
    </row>
    <row r="69" spans="1:14" s="846" customFormat="1" ht="13.5" customHeight="1">
      <c r="A69" s="991"/>
      <c r="B69" s="997" t="s">
        <v>2586</v>
      </c>
      <c r="C69" s="998"/>
      <c r="D69" s="999"/>
      <c r="E69" s="1000"/>
      <c r="F69" s="1001">
        <f>+F463-F248</f>
        <v>359347</v>
      </c>
      <c r="G69" s="1001">
        <f>+G463-G248</f>
        <v>407611</v>
      </c>
      <c r="H69" s="1001">
        <f t="shared" ref="H69:N69" si="31">+H463-H248</f>
        <v>-8822</v>
      </c>
      <c r="I69" s="1001">
        <f t="shared" si="31"/>
        <v>-39442</v>
      </c>
      <c r="J69" s="1001">
        <f t="shared" si="31"/>
        <v>0</v>
      </c>
      <c r="K69" s="1001">
        <f t="shared" si="31"/>
        <v>0</v>
      </c>
      <c r="L69" s="1001">
        <f>+L463-L248</f>
        <v>0</v>
      </c>
      <c r="M69" s="1001">
        <f t="shared" si="31"/>
        <v>0</v>
      </c>
      <c r="N69" s="1002">
        <f t="shared" si="31"/>
        <v>0</v>
      </c>
    </row>
    <row r="70" spans="1:14" s="846" customFormat="1" ht="13.5" hidden="1" customHeight="1">
      <c r="A70" s="974"/>
      <c r="B70" s="2594" t="s">
        <v>2578</v>
      </c>
      <c r="C70" s="2595"/>
      <c r="D70" s="975"/>
      <c r="E70" s="976"/>
      <c r="F70" s="977">
        <f>SUM(G70:N70)</f>
        <v>-48264</v>
      </c>
      <c r="G70" s="1003">
        <f>IF(G67=0,G69,0)</f>
        <v>0</v>
      </c>
      <c r="H70" s="1003">
        <f t="shared" ref="H70:N70" si="32">IF(H67=0,H69,0)</f>
        <v>-8822</v>
      </c>
      <c r="I70" s="1003">
        <f t="shared" si="32"/>
        <v>-39442</v>
      </c>
      <c r="J70" s="1003">
        <f t="shared" si="32"/>
        <v>0</v>
      </c>
      <c r="K70" s="1003">
        <f>IF(K67=0,K69,0)</f>
        <v>0</v>
      </c>
      <c r="L70" s="1003">
        <f t="shared" si="32"/>
        <v>0</v>
      </c>
      <c r="M70" s="1003">
        <f t="shared" si="32"/>
        <v>0</v>
      </c>
      <c r="N70" s="1003">
        <f t="shared" si="32"/>
        <v>0</v>
      </c>
    </row>
    <row r="71" spans="1:14" s="846" customFormat="1" ht="13.5" hidden="1" customHeight="1">
      <c r="A71" s="974"/>
      <c r="B71" s="2594" t="s">
        <v>2587</v>
      </c>
      <c r="C71" s="2595"/>
      <c r="D71" s="975"/>
      <c r="E71" s="976"/>
      <c r="F71" s="977">
        <f>SUM(G71:N71)</f>
        <v>3259483</v>
      </c>
      <c r="G71" s="1004">
        <f>IF(G68=0,G67,G67-(G43+G44+G59))</f>
        <v>3259483</v>
      </c>
      <c r="H71" s="1004">
        <f>IF(H68=0,H67,H67-(H43+H44+H59))</f>
        <v>0</v>
      </c>
      <c r="I71" s="1004">
        <f t="shared" ref="I71:N71" si="33">IF(I68=0,I67,I67-(I43+I44+I59))</f>
        <v>0</v>
      </c>
      <c r="J71" s="1004">
        <f t="shared" si="33"/>
        <v>0</v>
      </c>
      <c r="K71" s="1004">
        <f t="shared" si="33"/>
        <v>0</v>
      </c>
      <c r="L71" s="1004">
        <f t="shared" si="33"/>
        <v>0</v>
      </c>
      <c r="M71" s="1004">
        <f t="shared" si="33"/>
        <v>0</v>
      </c>
      <c r="N71" s="1004">
        <f t="shared" si="33"/>
        <v>0</v>
      </c>
    </row>
    <row r="72" spans="1:14" s="846" customFormat="1" ht="13.5" hidden="1" customHeight="1">
      <c r="A72" s="974"/>
      <c r="B72" s="2594" t="s">
        <v>2588</v>
      </c>
      <c r="C72" s="2595"/>
      <c r="D72" s="975"/>
      <c r="E72" s="976"/>
      <c r="F72" s="977">
        <f>SUM(G72:N72)</f>
        <v>-48264</v>
      </c>
      <c r="G72" s="978">
        <f>IF($F$71=0,0,(INT(G71/$F71*$F70)))</f>
        <v>-48264</v>
      </c>
      <c r="H72" s="978">
        <f t="shared" ref="H72:N72" si="34">IF($F$71=0,0,(INT(H71/$F71*$F70)))</f>
        <v>0</v>
      </c>
      <c r="I72" s="978">
        <f t="shared" si="34"/>
        <v>0</v>
      </c>
      <c r="J72" s="978">
        <f t="shared" si="34"/>
        <v>0</v>
      </c>
      <c r="K72" s="978">
        <f t="shared" si="34"/>
        <v>0</v>
      </c>
      <c r="L72" s="978">
        <f t="shared" si="34"/>
        <v>0</v>
      </c>
      <c r="M72" s="978">
        <f t="shared" si="34"/>
        <v>0</v>
      </c>
      <c r="N72" s="978">
        <f t="shared" si="34"/>
        <v>0</v>
      </c>
    </row>
    <row r="73" spans="1:14" s="846" customFormat="1" ht="13.5" hidden="1" customHeight="1">
      <c r="A73" s="974"/>
      <c r="B73" s="2594" t="s">
        <v>2589</v>
      </c>
      <c r="C73" s="2595"/>
      <c r="D73" s="975"/>
      <c r="E73" s="976"/>
      <c r="F73" s="977">
        <f>F70-F72</f>
        <v>0</v>
      </c>
      <c r="G73" s="978">
        <f>IF($F73=0,0,IF(G72=0,0,$F73))</f>
        <v>0</v>
      </c>
      <c r="H73" s="978">
        <f>IF($F73=0,0,IF(H72=0,0,IF(SUM($G73:G73)=0,$F73,0)))</f>
        <v>0</v>
      </c>
      <c r="I73" s="978">
        <f>IF($F73=0,0,IF(I72=0,0,IF(SUM($G73:H73)=0,$F73,0)))</f>
        <v>0</v>
      </c>
      <c r="J73" s="978">
        <f>IF($F73=0,0,IF(J72=0,0,IF(SUM($G73:I73)=0,$F73,0)))</f>
        <v>0</v>
      </c>
      <c r="K73" s="978">
        <f>IF($F73=0,0,IF(K72=0,0,IF(SUM($G73:J73)=0,$F73,0)))</f>
        <v>0</v>
      </c>
      <c r="L73" s="978">
        <f>IF($F73=0,0,IF(L72=0,0,IF(SUM($G73:K73)=0,$F73,0)))</f>
        <v>0</v>
      </c>
      <c r="M73" s="978">
        <f>IF($F73=0,0,IF(M72=0,0,IF(SUM($G73:L73)=0,$F73,0)))</f>
        <v>0</v>
      </c>
      <c r="N73" s="978">
        <f>IF($F73=0,0,IF(N72=0,0,IF(SUM($G73:M73)=0,$F73,0)))</f>
        <v>0</v>
      </c>
    </row>
    <row r="74" spans="1:14" s="846" customFormat="1" ht="13.5" customHeight="1">
      <c r="A74" s="991"/>
      <c r="B74" s="1005" t="s">
        <v>2590</v>
      </c>
      <c r="C74" s="1006"/>
      <c r="D74" s="1007"/>
      <c r="E74" s="1008"/>
      <c r="F74" s="977">
        <f t="shared" ref="F74:F81" si="35">SUM(G74:N74)</f>
        <v>359347</v>
      </c>
      <c r="G74" s="984">
        <f>IF(G67=0,0,G69+G72+G73)</f>
        <v>359347</v>
      </c>
      <c r="H74" s="984">
        <f t="shared" ref="H74:N74" si="36">IF(H67=0,0,H69+H72+H73)</f>
        <v>0</v>
      </c>
      <c r="I74" s="984">
        <f t="shared" si="36"/>
        <v>0</v>
      </c>
      <c r="J74" s="984">
        <f t="shared" si="36"/>
        <v>0</v>
      </c>
      <c r="K74" s="984">
        <f t="shared" si="36"/>
        <v>0</v>
      </c>
      <c r="L74" s="984">
        <f t="shared" si="36"/>
        <v>0</v>
      </c>
      <c r="M74" s="984">
        <f t="shared" si="36"/>
        <v>0</v>
      </c>
      <c r="N74" s="984">
        <f t="shared" si="36"/>
        <v>0</v>
      </c>
    </row>
    <row r="75" spans="1:14" s="846" customFormat="1" ht="13.5" customHeight="1" thickBot="1">
      <c r="A75" s="1009" t="s">
        <v>2591</v>
      </c>
      <c r="B75" s="1010"/>
      <c r="C75" s="1011"/>
      <c r="D75" s="1012"/>
      <c r="E75" s="1013"/>
      <c r="F75" s="1014">
        <f t="shared" si="35"/>
        <v>3618830</v>
      </c>
      <c r="G75" s="1015">
        <f>+G13+G66+G74</f>
        <v>3618830</v>
      </c>
      <c r="H75" s="1015">
        <f t="shared" ref="H75:N75" si="37">+H13+H66+H74</f>
        <v>0</v>
      </c>
      <c r="I75" s="1015">
        <f t="shared" si="37"/>
        <v>0</v>
      </c>
      <c r="J75" s="1015">
        <f t="shared" si="37"/>
        <v>0</v>
      </c>
      <c r="K75" s="1015">
        <f t="shared" si="37"/>
        <v>0</v>
      </c>
      <c r="L75" s="1015">
        <f t="shared" si="37"/>
        <v>0</v>
      </c>
      <c r="M75" s="1015">
        <f t="shared" si="37"/>
        <v>0</v>
      </c>
      <c r="N75" s="1015">
        <f t="shared" si="37"/>
        <v>0</v>
      </c>
    </row>
    <row r="76" spans="1:14" s="846" customFormat="1" ht="13.5" customHeight="1" thickTop="1">
      <c r="A76" s="1016" t="s">
        <v>394</v>
      </c>
      <c r="B76" s="1017"/>
      <c r="C76" s="1017"/>
      <c r="D76" s="1017"/>
      <c r="E76" s="1018" t="s">
        <v>2592</v>
      </c>
      <c r="F76" s="1019">
        <f t="shared" si="35"/>
        <v>3618000</v>
      </c>
      <c r="G76" s="1020">
        <f>IF(G75&lt;0,ROUNDUP(G75,-3),ROUNDDOWN(G75,-3))</f>
        <v>3618000</v>
      </c>
      <c r="H76" s="1020">
        <f t="shared" ref="H76:N76" si="38">IF(H75&lt;0,ROUNDUP(H75,-3),ROUNDDOWN(H75,-3))</f>
        <v>0</v>
      </c>
      <c r="I76" s="1020">
        <f t="shared" si="38"/>
        <v>0</v>
      </c>
      <c r="J76" s="1020">
        <f t="shared" si="38"/>
        <v>0</v>
      </c>
      <c r="K76" s="1020">
        <f t="shared" si="38"/>
        <v>0</v>
      </c>
      <c r="L76" s="1020">
        <f t="shared" si="38"/>
        <v>0</v>
      </c>
      <c r="M76" s="1020">
        <f t="shared" si="38"/>
        <v>0</v>
      </c>
      <c r="N76" s="1021">
        <f t="shared" si="38"/>
        <v>0</v>
      </c>
    </row>
    <row r="77" spans="1:14" s="846" customFormat="1" ht="13.5" customHeight="1">
      <c r="A77" s="1022"/>
      <c r="B77" s="2609" t="s">
        <v>2593</v>
      </c>
      <c r="C77" s="1023" t="s">
        <v>2594</v>
      </c>
      <c r="D77" s="1023"/>
      <c r="E77" s="1023"/>
      <c r="F77" s="1024">
        <f t="shared" si="35"/>
        <v>2987442</v>
      </c>
      <c r="G77" s="1025">
        <f t="shared" ref="G77:N77" si="39">+G13</f>
        <v>2987442</v>
      </c>
      <c r="H77" s="1025">
        <f t="shared" si="39"/>
        <v>0</v>
      </c>
      <c r="I77" s="1025">
        <f t="shared" si="39"/>
        <v>0</v>
      </c>
      <c r="J77" s="1025">
        <f t="shared" si="39"/>
        <v>0</v>
      </c>
      <c r="K77" s="1025">
        <f t="shared" si="39"/>
        <v>0</v>
      </c>
      <c r="L77" s="1025">
        <f t="shared" si="39"/>
        <v>0</v>
      </c>
      <c r="M77" s="1025">
        <f t="shared" si="39"/>
        <v>0</v>
      </c>
      <c r="N77" s="1026">
        <f t="shared" si="39"/>
        <v>0</v>
      </c>
    </row>
    <row r="78" spans="1:14" s="846" customFormat="1" ht="13.5" customHeight="1" thickBot="1">
      <c r="A78" s="1027"/>
      <c r="B78" s="2610"/>
      <c r="C78" s="1028" t="s">
        <v>2595</v>
      </c>
      <c r="D78" s="1028"/>
      <c r="E78" s="1028"/>
      <c r="F78" s="1029">
        <f t="shared" si="35"/>
        <v>630558</v>
      </c>
      <c r="G78" s="1030">
        <f>+G76-G77</f>
        <v>630558</v>
      </c>
      <c r="H78" s="1030">
        <f t="shared" ref="H78:N78" si="40">+H76-H77</f>
        <v>0</v>
      </c>
      <c r="I78" s="1030">
        <f t="shared" si="40"/>
        <v>0</v>
      </c>
      <c r="J78" s="1030">
        <f t="shared" si="40"/>
        <v>0</v>
      </c>
      <c r="K78" s="1030">
        <f t="shared" si="40"/>
        <v>0</v>
      </c>
      <c r="L78" s="1030">
        <f t="shared" si="40"/>
        <v>0</v>
      </c>
      <c r="M78" s="1030">
        <f t="shared" si="40"/>
        <v>0</v>
      </c>
      <c r="N78" s="1031">
        <f t="shared" si="40"/>
        <v>0</v>
      </c>
    </row>
    <row r="79" spans="1:14" s="846" customFormat="1" ht="13.5" customHeight="1" thickTop="1">
      <c r="A79" s="1016" t="s">
        <v>2596</v>
      </c>
      <c r="B79" s="1017"/>
      <c r="C79" s="1017"/>
      <c r="D79" s="1017"/>
      <c r="E79" s="1018" t="s">
        <v>2592</v>
      </c>
      <c r="F79" s="1019">
        <f t="shared" si="35"/>
        <v>0</v>
      </c>
      <c r="G79" s="1020">
        <f t="shared" ref="G79:N79" si="41">IF(G75&lt;0,ROUNDUP(G75*$G$2,-3),ROUNDDOWN(G75*$G$2,-3))</f>
        <v>0</v>
      </c>
      <c r="H79" s="1020">
        <f t="shared" si="41"/>
        <v>0</v>
      </c>
      <c r="I79" s="1020">
        <f t="shared" si="41"/>
        <v>0</v>
      </c>
      <c r="J79" s="1020">
        <f t="shared" si="41"/>
        <v>0</v>
      </c>
      <c r="K79" s="1020">
        <f t="shared" si="41"/>
        <v>0</v>
      </c>
      <c r="L79" s="1020">
        <f t="shared" si="41"/>
        <v>0</v>
      </c>
      <c r="M79" s="1020">
        <f t="shared" si="41"/>
        <v>0</v>
      </c>
      <c r="N79" s="1021">
        <f t="shared" si="41"/>
        <v>0</v>
      </c>
    </row>
    <row r="80" spans="1:14" s="846" customFormat="1" ht="13.5" customHeight="1">
      <c r="A80" s="1022"/>
      <c r="B80" s="2609" t="s">
        <v>2593</v>
      </c>
      <c r="C80" s="1023" t="s">
        <v>2594</v>
      </c>
      <c r="D80" s="1023"/>
      <c r="E80" s="1023"/>
      <c r="F80" s="1024">
        <f t="shared" si="35"/>
        <v>0</v>
      </c>
      <c r="G80" s="1025">
        <f t="shared" ref="G80:N80" si="42">IF(G77&lt;0,ROUNDDOWN(G77*$G$2,0),ROUNDUP(G77*$G$2,0))</f>
        <v>0</v>
      </c>
      <c r="H80" s="1025">
        <f t="shared" si="42"/>
        <v>0</v>
      </c>
      <c r="I80" s="1025">
        <f t="shared" si="42"/>
        <v>0</v>
      </c>
      <c r="J80" s="1025">
        <f t="shared" si="42"/>
        <v>0</v>
      </c>
      <c r="K80" s="1025">
        <f t="shared" si="42"/>
        <v>0</v>
      </c>
      <c r="L80" s="1025">
        <f t="shared" si="42"/>
        <v>0</v>
      </c>
      <c r="M80" s="1025">
        <f t="shared" si="42"/>
        <v>0</v>
      </c>
      <c r="N80" s="1026">
        <f t="shared" si="42"/>
        <v>0</v>
      </c>
    </row>
    <row r="81" spans="1:14" s="846" customFormat="1" ht="13.5" customHeight="1">
      <c r="A81" s="1027"/>
      <c r="B81" s="2611"/>
      <c r="C81" s="1028" t="s">
        <v>2595</v>
      </c>
      <c r="D81" s="1028"/>
      <c r="E81" s="1028"/>
      <c r="F81" s="1029">
        <f t="shared" si="35"/>
        <v>0</v>
      </c>
      <c r="G81" s="1030">
        <f t="shared" ref="G81:N81" si="43">+G79-G80</f>
        <v>0</v>
      </c>
      <c r="H81" s="1030">
        <f t="shared" si="43"/>
        <v>0</v>
      </c>
      <c r="I81" s="1030">
        <f t="shared" si="43"/>
        <v>0</v>
      </c>
      <c r="J81" s="1030">
        <f t="shared" si="43"/>
        <v>0</v>
      </c>
      <c r="K81" s="1030">
        <f t="shared" si="43"/>
        <v>0</v>
      </c>
      <c r="L81" s="1030">
        <f t="shared" si="43"/>
        <v>0</v>
      </c>
      <c r="M81" s="1030">
        <f t="shared" si="43"/>
        <v>0</v>
      </c>
      <c r="N81" s="1031">
        <f t="shared" si="43"/>
        <v>0</v>
      </c>
    </row>
    <row r="82" spans="1:14" s="885" customFormat="1" ht="13.5" customHeight="1">
      <c r="A82" s="1032"/>
      <c r="B82" s="1032"/>
      <c r="C82" s="1033"/>
      <c r="D82" s="1034"/>
      <c r="E82" s="1035" t="s">
        <v>2513</v>
      </c>
      <c r="F82" s="1036" t="str">
        <f>+F1</f>
        <v>イ）堺筋本町駅</v>
      </c>
      <c r="G82" s="1037"/>
      <c r="H82" s="1038"/>
      <c r="I82" s="1039"/>
      <c r="J82" s="844"/>
      <c r="K82" s="844"/>
      <c r="L82" s="844"/>
      <c r="M82" s="844"/>
      <c r="N82" s="845" t="s">
        <v>2597</v>
      </c>
    </row>
    <row r="83" spans="1:14" s="896" customFormat="1" ht="13.5" customHeight="1">
      <c r="A83" s="1040"/>
      <c r="B83" s="1040"/>
      <c r="C83" s="1041" t="str">
        <f>IF(OR(G83="無し",G83="なし"),"共通費集計表","随契諸経費集計表")</f>
        <v>共通費集計表</v>
      </c>
      <c r="D83" s="808"/>
      <c r="E83" s="1042"/>
      <c r="F83" s="1043" t="s">
        <v>2598</v>
      </c>
      <c r="G83" s="1044" t="s">
        <v>2599</v>
      </c>
      <c r="H83" s="1045"/>
      <c r="J83" s="1046"/>
      <c r="K83" s="1046"/>
      <c r="L83" s="1046"/>
      <c r="M83" s="1043"/>
      <c r="N83" s="1047"/>
    </row>
    <row r="84" spans="1:14" s="885" customFormat="1" ht="13.5" customHeight="1">
      <c r="A84" s="877"/>
      <c r="B84" s="878"/>
      <c r="C84" s="879" t="s">
        <v>2522</v>
      </c>
      <c r="D84" s="880"/>
      <c r="E84" s="881"/>
      <c r="F84" s="882" t="s">
        <v>2600</v>
      </c>
      <c r="G84" s="1048">
        <v>16.600000000000001</v>
      </c>
      <c r="H84" s="1048">
        <v>11</v>
      </c>
      <c r="I84" s="1048">
        <v>16.600000000000001</v>
      </c>
      <c r="J84" s="1048"/>
      <c r="K84" s="1048"/>
      <c r="L84" s="1048"/>
      <c r="M84" s="1048"/>
      <c r="N84" s="1049"/>
    </row>
    <row r="85" spans="1:14" s="885" customFormat="1" ht="13.5" customHeight="1">
      <c r="A85" s="1294"/>
      <c r="B85" s="1295"/>
      <c r="C85" s="888" t="s">
        <v>2524</v>
      </c>
      <c r="D85" s="889"/>
      <c r="E85" s="890"/>
      <c r="F85" s="891" t="s">
        <v>2601</v>
      </c>
      <c r="G85" s="1050" t="s">
        <v>2959</v>
      </c>
      <c r="H85" s="1050" t="s">
        <v>2959</v>
      </c>
      <c r="I85" s="1050" t="s">
        <v>2959</v>
      </c>
      <c r="J85" s="1050"/>
      <c r="K85" s="1050"/>
      <c r="L85" s="1050"/>
      <c r="M85" s="1050"/>
      <c r="N85" s="1051"/>
    </row>
    <row r="86" spans="1:14" s="896" customFormat="1" ht="13.5" customHeight="1">
      <c r="A86" s="1294"/>
      <c r="B86" s="1295"/>
      <c r="C86" s="1295" t="s">
        <v>2602</v>
      </c>
      <c r="D86" s="1295"/>
      <c r="E86" s="1052" t="s">
        <v>2608</v>
      </c>
      <c r="F86" s="1053" t="s">
        <v>2517</v>
      </c>
      <c r="G86" s="1054" t="s">
        <v>2972</v>
      </c>
      <c r="H86" s="1054" t="s">
        <v>2973</v>
      </c>
      <c r="I86" s="1054" t="s">
        <v>2974</v>
      </c>
      <c r="J86" s="1054"/>
      <c r="K86" s="1054"/>
      <c r="L86" s="1054"/>
      <c r="M86" s="1054"/>
      <c r="N86" s="1055"/>
    </row>
    <row r="87" spans="1:14" s="896" customFormat="1" ht="13.5" customHeight="1">
      <c r="A87" s="1294"/>
      <c r="B87" s="1295"/>
      <c r="C87" s="1295" t="s">
        <v>2604</v>
      </c>
      <c r="D87" s="1295"/>
      <c r="E87" s="1052" t="s">
        <v>2603</v>
      </c>
      <c r="F87" s="1056" t="s">
        <v>2605</v>
      </c>
      <c r="G87" s="1057" t="s">
        <v>2965</v>
      </c>
      <c r="H87" s="1057" t="s">
        <v>2966</v>
      </c>
      <c r="I87" s="1057" t="s">
        <v>2968</v>
      </c>
      <c r="J87" s="1057"/>
      <c r="K87" s="1057"/>
      <c r="L87" s="1057"/>
      <c r="M87" s="1057"/>
      <c r="N87" s="1058"/>
    </row>
    <row r="88" spans="1:14" s="896" customFormat="1" ht="13.5" customHeight="1">
      <c r="A88" s="2583" t="s">
        <v>2525</v>
      </c>
      <c r="B88" s="2584"/>
      <c r="C88" s="2584"/>
      <c r="D88" s="2584"/>
      <c r="E88" s="2584"/>
      <c r="F88" s="2585"/>
      <c r="G88" s="1059" t="s">
        <v>2606</v>
      </c>
      <c r="H88" s="1059" t="s">
        <v>2606</v>
      </c>
      <c r="I88" s="1059" t="s">
        <v>2606</v>
      </c>
      <c r="J88" s="1059" t="s">
        <v>2606</v>
      </c>
      <c r="K88" s="1059" t="s">
        <v>2606</v>
      </c>
      <c r="L88" s="1059" t="s">
        <v>2606</v>
      </c>
      <c r="M88" s="1059" t="s">
        <v>2606</v>
      </c>
      <c r="N88" s="1060" t="s">
        <v>2606</v>
      </c>
    </row>
    <row r="89" spans="1:14" s="896" customFormat="1" ht="30" customHeight="1">
      <c r="A89" s="2596" t="s">
        <v>2526</v>
      </c>
      <c r="B89" s="2597"/>
      <c r="C89" s="2597"/>
      <c r="D89" s="2597"/>
      <c r="E89" s="2597"/>
      <c r="F89" s="2598"/>
      <c r="G89" s="897" t="s">
        <v>2607</v>
      </c>
      <c r="H89" s="897" t="s">
        <v>2607</v>
      </c>
      <c r="I89" s="897" t="s">
        <v>2607</v>
      </c>
      <c r="J89" s="897" t="s">
        <v>2607</v>
      </c>
      <c r="K89" s="897" t="s">
        <v>2607</v>
      </c>
      <c r="L89" s="897" t="s">
        <v>2607</v>
      </c>
      <c r="M89" s="897" t="s">
        <v>2607</v>
      </c>
      <c r="N89" s="898" t="s">
        <v>2607</v>
      </c>
    </row>
    <row r="90" spans="1:14" s="896" customFormat="1" ht="30" customHeight="1">
      <c r="A90" s="2599" t="s">
        <v>2527</v>
      </c>
      <c r="B90" s="2600"/>
      <c r="C90" s="2600"/>
      <c r="D90" s="2600"/>
      <c r="E90" s="2600"/>
      <c r="F90" s="2601"/>
      <c r="G90" s="899" t="s">
        <v>2608</v>
      </c>
      <c r="H90" s="899" t="s">
        <v>2608</v>
      </c>
      <c r="I90" s="899" t="s">
        <v>2608</v>
      </c>
      <c r="J90" s="899" t="s">
        <v>2608</v>
      </c>
      <c r="K90" s="899" t="s">
        <v>2608</v>
      </c>
      <c r="L90" s="899" t="s">
        <v>2608</v>
      </c>
      <c r="M90" s="899" t="s">
        <v>2608</v>
      </c>
      <c r="N90" s="900" t="s">
        <v>2608</v>
      </c>
    </row>
    <row r="91" spans="1:14" s="896" customFormat="1" ht="13.5" customHeight="1">
      <c r="A91" s="877"/>
      <c r="B91" s="901" t="s">
        <v>2609</v>
      </c>
      <c r="C91" s="902"/>
      <c r="D91" s="902"/>
      <c r="E91" s="903"/>
      <c r="F91" s="904">
        <f>SUM(G91:N91)</f>
        <v>212777084</v>
      </c>
      <c r="G91" s="905">
        <f>+G92+G96</f>
        <v>44795961</v>
      </c>
      <c r="H91" s="905">
        <f>+H92+H96</f>
        <v>28913934</v>
      </c>
      <c r="I91" s="905">
        <f t="shared" ref="I91:N91" si="44">+I92+I96</f>
        <v>139067189</v>
      </c>
      <c r="J91" s="905">
        <f>+J92+J96</f>
        <v>0</v>
      </c>
      <c r="K91" s="905">
        <f>+K92+K96</f>
        <v>0</v>
      </c>
      <c r="L91" s="905">
        <f t="shared" si="44"/>
        <v>0</v>
      </c>
      <c r="M91" s="905">
        <f t="shared" si="44"/>
        <v>0</v>
      </c>
      <c r="N91" s="906">
        <f t="shared" si="44"/>
        <v>0</v>
      </c>
    </row>
    <row r="92" spans="1:14" s="896" customFormat="1" ht="13.5" customHeight="1">
      <c r="A92" s="1294"/>
      <c r="B92" s="1295"/>
      <c r="C92" s="694" t="s">
        <v>2529</v>
      </c>
      <c r="D92" s="695"/>
      <c r="E92" s="881"/>
      <c r="F92" s="907">
        <f>SUM(G92:N92)</f>
        <v>197831613</v>
      </c>
      <c r="G92" s="1061">
        <v>39763280</v>
      </c>
      <c r="H92" s="1061">
        <v>27426558</v>
      </c>
      <c r="I92" s="1061">
        <v>130641775</v>
      </c>
      <c r="J92" s="1061"/>
      <c r="K92" s="1061"/>
      <c r="L92" s="1061"/>
      <c r="M92" s="1061"/>
      <c r="N92" s="1062"/>
    </row>
    <row r="93" spans="1:14" s="896" customFormat="1" ht="13.5" customHeight="1">
      <c r="A93" s="1294"/>
      <c r="B93" s="1295"/>
      <c r="C93" s="1063"/>
      <c r="D93" s="1063"/>
      <c r="E93" s="910"/>
      <c r="F93" s="911" t="s">
        <v>2610</v>
      </c>
      <c r="G93" s="912">
        <f>SUM(G185:G194)</f>
        <v>3754283</v>
      </c>
      <c r="H93" s="912">
        <f t="shared" ref="H93:N93" si="45">SUM(H185:H194)</f>
        <v>13658</v>
      </c>
      <c r="I93" s="912">
        <f t="shared" si="45"/>
        <v>2514930</v>
      </c>
      <c r="J93" s="912">
        <f>SUM(J185:J194)</f>
        <v>0</v>
      </c>
      <c r="K93" s="912">
        <f>SUM(K185:K194)</f>
        <v>0</v>
      </c>
      <c r="L93" s="912">
        <f t="shared" si="45"/>
        <v>0</v>
      </c>
      <c r="M93" s="912">
        <f t="shared" si="45"/>
        <v>0</v>
      </c>
      <c r="N93" s="913">
        <f t="shared" si="45"/>
        <v>0</v>
      </c>
    </row>
    <row r="94" spans="1:14" s="896" customFormat="1" ht="13.5" customHeight="1">
      <c r="A94" s="1294"/>
      <c r="B94" s="1295"/>
      <c r="C94" s="1063"/>
      <c r="D94" s="1063"/>
      <c r="E94" s="910"/>
      <c r="F94" s="911" t="s">
        <v>2611</v>
      </c>
      <c r="G94" s="912">
        <f>SUM(G232:G234)</f>
        <v>0</v>
      </c>
      <c r="H94" s="912">
        <f t="shared" ref="H94:N94" si="46">SUM(H232:H234)</f>
        <v>0</v>
      </c>
      <c r="I94" s="912">
        <f t="shared" si="46"/>
        <v>0</v>
      </c>
      <c r="J94" s="912">
        <f>SUM(J232:J234)</f>
        <v>0</v>
      </c>
      <c r="K94" s="912">
        <f>SUM(K232:K234)</f>
        <v>0</v>
      </c>
      <c r="L94" s="912">
        <f t="shared" si="46"/>
        <v>0</v>
      </c>
      <c r="M94" s="912">
        <f t="shared" si="46"/>
        <v>0</v>
      </c>
      <c r="N94" s="913">
        <f t="shared" si="46"/>
        <v>0</v>
      </c>
    </row>
    <row r="95" spans="1:14" s="896" customFormat="1" ht="13.5" customHeight="1">
      <c r="A95" s="1294"/>
      <c r="B95" s="1295"/>
      <c r="C95" s="1063"/>
      <c r="D95" s="1063"/>
      <c r="E95" s="910"/>
      <c r="F95" s="1064" t="s">
        <v>2612</v>
      </c>
      <c r="G95" s="912">
        <f>+G134</f>
        <v>0</v>
      </c>
      <c r="H95" s="912">
        <f t="shared" ref="H95:N95" si="47">+H134</f>
        <v>0</v>
      </c>
      <c r="I95" s="912">
        <f t="shared" si="47"/>
        <v>0</v>
      </c>
      <c r="J95" s="912">
        <f t="shared" si="47"/>
        <v>0</v>
      </c>
      <c r="K95" s="912">
        <f>+K134</f>
        <v>0</v>
      </c>
      <c r="L95" s="912">
        <f t="shared" si="47"/>
        <v>0</v>
      </c>
      <c r="M95" s="912">
        <f t="shared" si="47"/>
        <v>0</v>
      </c>
      <c r="N95" s="913">
        <f t="shared" si="47"/>
        <v>0</v>
      </c>
    </row>
    <row r="96" spans="1:14" s="896" customFormat="1" ht="13.5" customHeight="1">
      <c r="A96" s="1294"/>
      <c r="B96" s="1295"/>
      <c r="C96" s="701" t="s">
        <v>2530</v>
      </c>
      <c r="D96" s="701"/>
      <c r="E96" s="910"/>
      <c r="F96" s="911">
        <f t="shared" ref="F96:F113" si="48">SUM(G96:N96)</f>
        <v>14945471</v>
      </c>
      <c r="G96" s="912">
        <f>G97+G98</f>
        <v>5032681</v>
      </c>
      <c r="H96" s="912">
        <f t="shared" ref="H96:N96" si="49">H97+H98</f>
        <v>1487376</v>
      </c>
      <c r="I96" s="912">
        <f t="shared" si="49"/>
        <v>8425414</v>
      </c>
      <c r="J96" s="912">
        <f t="shared" si="49"/>
        <v>0</v>
      </c>
      <c r="K96" s="912">
        <f>K97+K98</f>
        <v>0</v>
      </c>
      <c r="L96" s="912">
        <f t="shared" si="49"/>
        <v>0</v>
      </c>
      <c r="M96" s="912">
        <f t="shared" si="49"/>
        <v>0</v>
      </c>
      <c r="N96" s="913">
        <f t="shared" si="49"/>
        <v>0</v>
      </c>
    </row>
    <row r="97" spans="1:14" s="896" customFormat="1" ht="13.5" customHeight="1">
      <c r="A97" s="1294"/>
      <c r="B97" s="1295"/>
      <c r="C97" s="914" t="s">
        <v>2531</v>
      </c>
      <c r="D97" s="701"/>
      <c r="E97" s="910"/>
      <c r="F97" s="911">
        <f t="shared" si="48"/>
        <v>6075201</v>
      </c>
      <c r="G97" s="912">
        <f t="shared" ref="G97:N97" si="50">IF(G88="積上げ",0,G174)</f>
        <v>1189666</v>
      </c>
      <c r="H97" s="912">
        <f t="shared" si="50"/>
        <v>764819</v>
      </c>
      <c r="I97" s="912">
        <f t="shared" si="50"/>
        <v>4120716</v>
      </c>
      <c r="J97" s="912">
        <f t="shared" si="50"/>
        <v>0</v>
      </c>
      <c r="K97" s="912">
        <f t="shared" si="50"/>
        <v>0</v>
      </c>
      <c r="L97" s="912">
        <f t="shared" si="50"/>
        <v>0</v>
      </c>
      <c r="M97" s="912">
        <f t="shared" si="50"/>
        <v>0</v>
      </c>
      <c r="N97" s="913">
        <f t="shared" si="50"/>
        <v>0</v>
      </c>
    </row>
    <row r="98" spans="1:14" s="896" customFormat="1" ht="13.5" customHeight="1">
      <c r="A98" s="1294"/>
      <c r="B98" s="1295"/>
      <c r="C98" s="914" t="s">
        <v>2537</v>
      </c>
      <c r="D98" s="701"/>
      <c r="E98" s="910"/>
      <c r="F98" s="911">
        <f t="shared" si="48"/>
        <v>8870270</v>
      </c>
      <c r="G98" s="1065">
        <v>3843015</v>
      </c>
      <c r="H98" s="1065">
        <v>722557</v>
      </c>
      <c r="I98" s="1065">
        <v>4304698</v>
      </c>
      <c r="J98" s="1065"/>
      <c r="K98" s="1065"/>
      <c r="L98" s="1065"/>
      <c r="M98" s="1065"/>
      <c r="N98" s="1066"/>
    </row>
    <row r="99" spans="1:14" s="896" customFormat="1" ht="13.5" customHeight="1">
      <c r="A99" s="1294"/>
      <c r="B99" s="1295"/>
      <c r="C99" s="922" t="s">
        <v>2538</v>
      </c>
      <c r="D99" s="701"/>
      <c r="E99" s="910"/>
      <c r="F99" s="911">
        <f t="shared" si="48"/>
        <v>0</v>
      </c>
      <c r="G99" s="1065"/>
      <c r="H99" s="1065"/>
      <c r="I99" s="1065"/>
      <c r="J99" s="1065"/>
      <c r="K99" s="1065"/>
      <c r="L99" s="1065"/>
      <c r="M99" s="1065"/>
      <c r="N99" s="1066"/>
    </row>
    <row r="100" spans="1:14" s="896" customFormat="1" ht="13.5" customHeight="1">
      <c r="A100" s="1294"/>
      <c r="B100" s="1295"/>
      <c r="C100" s="923" t="s">
        <v>2539</v>
      </c>
      <c r="D100" s="924"/>
      <c r="E100" s="925"/>
      <c r="F100" s="926">
        <f t="shared" si="48"/>
        <v>0</v>
      </c>
      <c r="G100" s="1067"/>
      <c r="H100" s="1067"/>
      <c r="I100" s="1067"/>
      <c r="J100" s="1067"/>
      <c r="K100" s="1067"/>
      <c r="L100" s="1067"/>
      <c r="M100" s="1067"/>
      <c r="N100" s="1068"/>
    </row>
    <row r="101" spans="1:14" s="896" customFormat="1" ht="13.5" customHeight="1">
      <c r="A101" s="1069"/>
      <c r="B101" s="1070"/>
      <c r="C101" s="1071" t="s">
        <v>2613</v>
      </c>
      <c r="D101" s="1072"/>
      <c r="E101" s="945"/>
      <c r="F101" s="946">
        <f t="shared" si="48"/>
        <v>0</v>
      </c>
      <c r="G101" s="1073">
        <f>+G135</f>
        <v>0</v>
      </c>
      <c r="H101" s="1073">
        <f t="shared" ref="H101:N101" si="51">+H135</f>
        <v>0</v>
      </c>
      <c r="I101" s="1073">
        <f t="shared" si="51"/>
        <v>0</v>
      </c>
      <c r="J101" s="1073">
        <f t="shared" si="51"/>
        <v>0</v>
      </c>
      <c r="K101" s="1073">
        <f>+K135</f>
        <v>0</v>
      </c>
      <c r="L101" s="1073">
        <f t="shared" si="51"/>
        <v>0</v>
      </c>
      <c r="M101" s="1073">
        <f t="shared" si="51"/>
        <v>0</v>
      </c>
      <c r="N101" s="1074">
        <f t="shared" si="51"/>
        <v>0</v>
      </c>
    </row>
    <row r="102" spans="1:14" s="896" customFormat="1" ht="13.5" customHeight="1">
      <c r="A102" s="1294"/>
      <c r="B102" s="924" t="s">
        <v>2614</v>
      </c>
      <c r="C102" s="924"/>
      <c r="D102" s="924"/>
      <c r="E102" s="925"/>
      <c r="F102" s="926">
        <f t="shared" si="48"/>
        <v>52922916</v>
      </c>
      <c r="G102" s="1075">
        <f>G103+G108</f>
        <v>11022039</v>
      </c>
      <c r="H102" s="1075">
        <f t="shared" ref="H102:N102" si="52">H103+H108</f>
        <v>6712066</v>
      </c>
      <c r="I102" s="1075">
        <f t="shared" si="52"/>
        <v>35188811</v>
      </c>
      <c r="J102" s="1075">
        <f t="shared" si="52"/>
        <v>0</v>
      </c>
      <c r="K102" s="1075">
        <f>K103+K108</f>
        <v>0</v>
      </c>
      <c r="L102" s="1075">
        <f t="shared" si="52"/>
        <v>0</v>
      </c>
      <c r="M102" s="1075">
        <f t="shared" si="52"/>
        <v>0</v>
      </c>
      <c r="N102" s="1076">
        <f t="shared" si="52"/>
        <v>0</v>
      </c>
    </row>
    <row r="103" spans="1:14" s="896" customFormat="1" ht="13.5" customHeight="1">
      <c r="A103" s="1294"/>
      <c r="B103" s="1295"/>
      <c r="C103" s="694" t="s">
        <v>2615</v>
      </c>
      <c r="D103" s="694"/>
      <c r="E103" s="882"/>
      <c r="F103" s="907">
        <f t="shared" si="48"/>
        <v>23273755</v>
      </c>
      <c r="G103" s="1077">
        <f>G104+G107</f>
        <v>4792956</v>
      </c>
      <c r="H103" s="1077">
        <f t="shared" ref="H103:N103" si="53">H104+H107</f>
        <v>2736856</v>
      </c>
      <c r="I103" s="1077">
        <f t="shared" si="53"/>
        <v>15743943</v>
      </c>
      <c r="J103" s="1077">
        <f t="shared" si="53"/>
        <v>0</v>
      </c>
      <c r="K103" s="1077">
        <f>K104+K107</f>
        <v>0</v>
      </c>
      <c r="L103" s="1077">
        <f t="shared" si="53"/>
        <v>0</v>
      </c>
      <c r="M103" s="1077">
        <f t="shared" si="53"/>
        <v>0</v>
      </c>
      <c r="N103" s="1078">
        <f t="shared" si="53"/>
        <v>0</v>
      </c>
    </row>
    <row r="104" spans="1:14" s="896" customFormat="1" ht="13.5" customHeight="1">
      <c r="A104" s="1294"/>
      <c r="B104" s="1295"/>
      <c r="C104" s="1079" t="s">
        <v>2616</v>
      </c>
      <c r="D104" s="1079"/>
      <c r="E104" s="891"/>
      <c r="F104" s="911">
        <f t="shared" si="48"/>
        <v>23273755</v>
      </c>
      <c r="G104" s="1080">
        <f>SUM(G105:G106)-G107</f>
        <v>4792956</v>
      </c>
      <c r="H104" s="1080">
        <f t="shared" ref="H104:N104" si="54">SUM(H105:H106)-H107</f>
        <v>2736856</v>
      </c>
      <c r="I104" s="1080">
        <f t="shared" si="54"/>
        <v>15743943</v>
      </c>
      <c r="J104" s="1080">
        <f t="shared" si="54"/>
        <v>0</v>
      </c>
      <c r="K104" s="1080">
        <f>SUM(K105:K106)-K107</f>
        <v>0</v>
      </c>
      <c r="L104" s="1080">
        <f t="shared" si="54"/>
        <v>0</v>
      </c>
      <c r="M104" s="1080">
        <f t="shared" si="54"/>
        <v>0</v>
      </c>
      <c r="N104" s="1081">
        <f t="shared" si="54"/>
        <v>0</v>
      </c>
    </row>
    <row r="105" spans="1:14" s="896" customFormat="1" ht="13.5" customHeight="1">
      <c r="A105" s="1294"/>
      <c r="B105" s="1295"/>
      <c r="C105" s="1082" t="s">
        <v>2617</v>
      </c>
      <c r="D105" s="1082"/>
      <c r="E105" s="910"/>
      <c r="F105" s="911">
        <f t="shared" si="48"/>
        <v>23160157</v>
      </c>
      <c r="G105" s="912">
        <f>SUM(G200:G202)+G198</f>
        <v>4719792</v>
      </c>
      <c r="H105" s="912">
        <f t="shared" ref="H105:N105" si="55">SUM(H200:H202)+H198</f>
        <v>2736856</v>
      </c>
      <c r="I105" s="912">
        <f t="shared" si="55"/>
        <v>15703509</v>
      </c>
      <c r="J105" s="912">
        <f t="shared" si="55"/>
        <v>0</v>
      </c>
      <c r="K105" s="912">
        <f>SUM(K200:K202)+K198</f>
        <v>0</v>
      </c>
      <c r="L105" s="912">
        <f t="shared" si="55"/>
        <v>0</v>
      </c>
      <c r="M105" s="912">
        <f t="shared" si="55"/>
        <v>0</v>
      </c>
      <c r="N105" s="913">
        <f t="shared" si="55"/>
        <v>0</v>
      </c>
    </row>
    <row r="106" spans="1:14" s="896" customFormat="1" ht="13.5" customHeight="1">
      <c r="A106" s="1294"/>
      <c r="B106" s="1295"/>
      <c r="C106" s="1082" t="s">
        <v>2618</v>
      </c>
      <c r="D106" s="1082"/>
      <c r="E106" s="910"/>
      <c r="F106" s="911">
        <f t="shared" si="48"/>
        <v>113598</v>
      </c>
      <c r="G106" s="912">
        <f>SUM(G203:G214)</f>
        <v>73164</v>
      </c>
      <c r="H106" s="912">
        <f t="shared" ref="H106:N106" si="56">SUM(H203:H214)</f>
        <v>0</v>
      </c>
      <c r="I106" s="912">
        <f t="shared" si="56"/>
        <v>40434</v>
      </c>
      <c r="J106" s="912">
        <f>SUM(J203:J214)</f>
        <v>0</v>
      </c>
      <c r="K106" s="912">
        <f>SUM(K203:K214)</f>
        <v>0</v>
      </c>
      <c r="L106" s="912">
        <f t="shared" si="56"/>
        <v>0</v>
      </c>
      <c r="M106" s="912">
        <f t="shared" si="56"/>
        <v>0</v>
      </c>
      <c r="N106" s="913">
        <f t="shared" si="56"/>
        <v>0</v>
      </c>
    </row>
    <row r="107" spans="1:14" s="896" customFormat="1" ht="13.5" customHeight="1">
      <c r="A107" s="1294"/>
      <c r="B107" s="1295"/>
      <c r="C107" s="1082" t="s">
        <v>2619</v>
      </c>
      <c r="D107" s="1082"/>
      <c r="E107" s="910"/>
      <c r="F107" s="911">
        <f t="shared" si="48"/>
        <v>0</v>
      </c>
      <c r="G107" s="912">
        <f>+G212</f>
        <v>0</v>
      </c>
      <c r="H107" s="912">
        <f t="shared" ref="H107:N107" si="57">+H212</f>
        <v>0</v>
      </c>
      <c r="I107" s="912">
        <f t="shared" si="57"/>
        <v>0</v>
      </c>
      <c r="J107" s="912">
        <f t="shared" si="57"/>
        <v>0</v>
      </c>
      <c r="K107" s="912">
        <f>+K212</f>
        <v>0</v>
      </c>
      <c r="L107" s="912">
        <f t="shared" si="57"/>
        <v>0</v>
      </c>
      <c r="M107" s="912">
        <f t="shared" si="57"/>
        <v>0</v>
      </c>
      <c r="N107" s="913">
        <f t="shared" si="57"/>
        <v>0</v>
      </c>
    </row>
    <row r="108" spans="1:14" s="896" customFormat="1" ht="13.5" customHeight="1">
      <c r="A108" s="1294"/>
      <c r="B108" s="1295"/>
      <c r="C108" s="701" t="s">
        <v>2620</v>
      </c>
      <c r="D108" s="701"/>
      <c r="E108" s="910"/>
      <c r="F108" s="911">
        <f t="shared" si="48"/>
        <v>29649161</v>
      </c>
      <c r="G108" s="912">
        <f>SUM(G109:G112)</f>
        <v>6229083</v>
      </c>
      <c r="H108" s="912">
        <f t="shared" ref="H108:N108" si="58">SUM(H109:H112)</f>
        <v>3975210</v>
      </c>
      <c r="I108" s="912">
        <f t="shared" si="58"/>
        <v>19444868</v>
      </c>
      <c r="J108" s="912">
        <f t="shared" si="58"/>
        <v>0</v>
      </c>
      <c r="K108" s="912">
        <f t="shared" si="58"/>
        <v>0</v>
      </c>
      <c r="L108" s="912">
        <f t="shared" si="58"/>
        <v>0</v>
      </c>
      <c r="M108" s="912">
        <f t="shared" si="58"/>
        <v>0</v>
      </c>
      <c r="N108" s="913">
        <f t="shared" si="58"/>
        <v>0</v>
      </c>
    </row>
    <row r="109" spans="1:14" s="896" customFormat="1" ht="13.5" customHeight="1">
      <c r="A109" s="1294"/>
      <c r="B109" s="1295"/>
      <c r="C109" s="1082" t="s">
        <v>2617</v>
      </c>
      <c r="D109" s="1082"/>
      <c r="E109" s="910"/>
      <c r="F109" s="1083">
        <f t="shared" si="48"/>
        <v>28146698</v>
      </c>
      <c r="G109" s="912">
        <f>IF(G237=0,0,+G237-G254)</f>
        <v>5913449</v>
      </c>
      <c r="H109" s="912">
        <f t="shared" ref="H109:N109" si="59">IF(H237=0,0,+H237-H254)</f>
        <v>3773753</v>
      </c>
      <c r="I109" s="912">
        <f t="shared" si="59"/>
        <v>18459496</v>
      </c>
      <c r="J109" s="912">
        <f t="shared" si="59"/>
        <v>0</v>
      </c>
      <c r="K109" s="912">
        <f t="shared" si="59"/>
        <v>0</v>
      </c>
      <c r="L109" s="912">
        <f t="shared" si="59"/>
        <v>0</v>
      </c>
      <c r="M109" s="912">
        <f t="shared" si="59"/>
        <v>0</v>
      </c>
      <c r="N109" s="913">
        <f t="shared" si="59"/>
        <v>0</v>
      </c>
    </row>
    <row r="110" spans="1:14" s="896" customFormat="1" ht="13.5" customHeight="1">
      <c r="A110" s="1294"/>
      <c r="B110" s="1295"/>
      <c r="C110" s="1082" t="s">
        <v>2621</v>
      </c>
      <c r="D110" s="1082"/>
      <c r="E110" s="910"/>
      <c r="F110" s="911">
        <f t="shared" si="48"/>
        <v>1502463</v>
      </c>
      <c r="G110" s="912">
        <f>+G238+G239</f>
        <v>315634</v>
      </c>
      <c r="H110" s="912">
        <f t="shared" ref="H110:N110" si="60">+H238+H239</f>
        <v>201457</v>
      </c>
      <c r="I110" s="912">
        <f t="shared" si="60"/>
        <v>985372</v>
      </c>
      <c r="J110" s="912">
        <f>+J238+J239</f>
        <v>0</v>
      </c>
      <c r="K110" s="912">
        <f>+K238+K239</f>
        <v>0</v>
      </c>
      <c r="L110" s="912">
        <f t="shared" si="60"/>
        <v>0</v>
      </c>
      <c r="M110" s="912">
        <f t="shared" si="60"/>
        <v>0</v>
      </c>
      <c r="N110" s="913">
        <f t="shared" si="60"/>
        <v>0</v>
      </c>
    </row>
    <row r="111" spans="1:14" s="896" customFormat="1" ht="13.5" customHeight="1">
      <c r="A111" s="1294"/>
      <c r="B111" s="1295"/>
      <c r="C111" s="1082" t="s">
        <v>2622</v>
      </c>
      <c r="D111" s="1082"/>
      <c r="E111" s="910"/>
      <c r="F111" s="911">
        <f t="shared" si="48"/>
        <v>0</v>
      </c>
      <c r="G111" s="912">
        <f>SUM(G240:G244)</f>
        <v>0</v>
      </c>
      <c r="H111" s="912">
        <f t="shared" ref="H111:N111" si="61">SUM(H240:H244)</f>
        <v>0</v>
      </c>
      <c r="I111" s="912">
        <f t="shared" si="61"/>
        <v>0</v>
      </c>
      <c r="J111" s="912">
        <f>SUM(J240:J244)</f>
        <v>0</v>
      </c>
      <c r="K111" s="912">
        <f>SUM(K240:K244)</f>
        <v>0</v>
      </c>
      <c r="L111" s="912">
        <f t="shared" si="61"/>
        <v>0</v>
      </c>
      <c r="M111" s="912">
        <f t="shared" si="61"/>
        <v>0</v>
      </c>
      <c r="N111" s="913">
        <f t="shared" si="61"/>
        <v>0</v>
      </c>
    </row>
    <row r="112" spans="1:14" s="896" customFormat="1" ht="13.5" customHeight="1">
      <c r="A112" s="1294"/>
      <c r="B112" s="1295"/>
      <c r="C112" s="924" t="s">
        <v>2623</v>
      </c>
      <c r="D112" s="1295"/>
      <c r="E112" s="925"/>
      <c r="F112" s="926">
        <f t="shared" si="48"/>
        <v>0</v>
      </c>
      <c r="G112" s="1075">
        <f>IF(G245=0,0,+G245-G254)</f>
        <v>0</v>
      </c>
      <c r="H112" s="1075">
        <f t="shared" ref="H112:N112" si="62">IF(H245=0,0,+H245-H254)</f>
        <v>0</v>
      </c>
      <c r="I112" s="1075">
        <f t="shared" si="62"/>
        <v>0</v>
      </c>
      <c r="J112" s="1075">
        <f t="shared" si="62"/>
        <v>0</v>
      </c>
      <c r="K112" s="1075">
        <f t="shared" si="62"/>
        <v>0</v>
      </c>
      <c r="L112" s="1075">
        <f t="shared" si="62"/>
        <v>0</v>
      </c>
      <c r="M112" s="1075">
        <f t="shared" si="62"/>
        <v>0</v>
      </c>
      <c r="N112" s="1076">
        <f t="shared" si="62"/>
        <v>0</v>
      </c>
    </row>
    <row r="113" spans="1:14" s="896" customFormat="1" ht="13.5" customHeight="1">
      <c r="A113" s="1084"/>
      <c r="B113" s="902" t="s">
        <v>2624</v>
      </c>
      <c r="C113" s="902"/>
      <c r="D113" s="902"/>
      <c r="E113" s="1085"/>
      <c r="F113" s="904">
        <f t="shared" si="48"/>
        <v>265700000</v>
      </c>
      <c r="G113" s="905">
        <f>G91+G102</f>
        <v>55818000</v>
      </c>
      <c r="H113" s="905">
        <f t="shared" ref="H113:N113" si="63">H91+H102</f>
        <v>35626000</v>
      </c>
      <c r="I113" s="905">
        <f t="shared" si="63"/>
        <v>174256000</v>
      </c>
      <c r="J113" s="905">
        <f t="shared" si="63"/>
        <v>0</v>
      </c>
      <c r="K113" s="905">
        <f>K91+K102</f>
        <v>0</v>
      </c>
      <c r="L113" s="905">
        <f t="shared" si="63"/>
        <v>0</v>
      </c>
      <c r="M113" s="905">
        <f t="shared" si="63"/>
        <v>0</v>
      </c>
      <c r="N113" s="906">
        <f t="shared" si="63"/>
        <v>0</v>
      </c>
    </row>
    <row r="114" spans="1:14" s="896" customFormat="1" ht="15" customHeight="1">
      <c r="A114" s="1086"/>
      <c r="B114" s="1295"/>
      <c r="C114" s="1087" t="s">
        <v>2625</v>
      </c>
      <c r="D114" s="1087"/>
      <c r="E114" s="1088"/>
      <c r="F114" s="1042"/>
      <c r="G114" s="1089" t="s">
        <v>2626</v>
      </c>
      <c r="H114" s="1090"/>
      <c r="I114" s="1046"/>
      <c r="J114" s="1046"/>
      <c r="K114" s="1046"/>
      <c r="L114" s="1046"/>
      <c r="M114" s="1046"/>
      <c r="N114" s="1046"/>
    </row>
    <row r="115" spans="1:14" s="896" customFormat="1" ht="15" customHeight="1">
      <c r="A115" s="877"/>
      <c r="B115" s="878"/>
      <c r="C115" s="878"/>
      <c r="D115" s="878"/>
      <c r="E115" s="1091"/>
      <c r="F115" s="1092" t="s">
        <v>2517</v>
      </c>
      <c r="G115" s="1093" t="str">
        <f t="shared" ref="G115:N115" si="64">+G86</f>
        <v>工事6</v>
      </c>
      <c r="H115" s="1093" t="str">
        <f t="shared" si="64"/>
        <v>工事7</v>
      </c>
      <c r="I115" s="1093" t="str">
        <f t="shared" si="64"/>
        <v>工事8</v>
      </c>
      <c r="J115" s="1093">
        <f t="shared" si="64"/>
        <v>0</v>
      </c>
      <c r="K115" s="1093">
        <f t="shared" si="64"/>
        <v>0</v>
      </c>
      <c r="L115" s="1093">
        <f t="shared" si="64"/>
        <v>0</v>
      </c>
      <c r="M115" s="1093">
        <f t="shared" si="64"/>
        <v>0</v>
      </c>
      <c r="N115" s="1094">
        <f t="shared" si="64"/>
        <v>0</v>
      </c>
    </row>
    <row r="116" spans="1:14" s="896" customFormat="1" ht="15" customHeight="1">
      <c r="A116" s="929" t="s">
        <v>2540</v>
      </c>
      <c r="B116" s="930"/>
      <c r="C116" s="931"/>
      <c r="D116" s="931"/>
      <c r="E116" s="932"/>
      <c r="F116" s="933"/>
      <c r="G116" s="934"/>
      <c r="H116" s="934"/>
      <c r="I116" s="934"/>
      <c r="J116" s="934"/>
      <c r="K116" s="934"/>
      <c r="L116" s="934"/>
      <c r="M116" s="934"/>
      <c r="N116" s="935"/>
    </row>
    <row r="117" spans="1:14" s="896" customFormat="1" ht="15" customHeight="1">
      <c r="A117" s="2602"/>
      <c r="B117" s="2604" t="s">
        <v>2541</v>
      </c>
      <c r="C117" s="695" t="s">
        <v>2542</v>
      </c>
      <c r="D117" s="695"/>
      <c r="E117" s="882"/>
      <c r="F117" s="907">
        <f t="shared" ref="F117:F123" si="65">SUM(G117:N117)</f>
        <v>0</v>
      </c>
      <c r="G117" s="1077">
        <f t="shared" ref="G117:N117" si="66">IF(G85="新営",G92-SUM(G119:G130)-G134-G133,0)</f>
        <v>0</v>
      </c>
      <c r="H117" s="1077">
        <f t="shared" si="66"/>
        <v>0</v>
      </c>
      <c r="I117" s="1077">
        <f t="shared" si="66"/>
        <v>0</v>
      </c>
      <c r="J117" s="1077">
        <f t="shared" si="66"/>
        <v>0</v>
      </c>
      <c r="K117" s="1077">
        <f t="shared" si="66"/>
        <v>0</v>
      </c>
      <c r="L117" s="1077">
        <f t="shared" si="66"/>
        <v>0</v>
      </c>
      <c r="M117" s="1077">
        <f t="shared" si="66"/>
        <v>0</v>
      </c>
      <c r="N117" s="1077">
        <f t="shared" si="66"/>
        <v>0</v>
      </c>
    </row>
    <row r="118" spans="1:14" s="896" customFormat="1" ht="14.25" customHeight="1">
      <c r="A118" s="2602"/>
      <c r="B118" s="2605"/>
      <c r="C118" s="702" t="s">
        <v>2543</v>
      </c>
      <c r="D118" s="702"/>
      <c r="E118" s="910"/>
      <c r="F118" s="911">
        <f t="shared" si="65"/>
        <v>191604979</v>
      </c>
      <c r="G118" s="912">
        <f t="shared" ref="G118:N118" si="67">IF(G85="改修",G92-SUM(G119:G130)-G134-G133,0)</f>
        <v>36045217</v>
      </c>
      <c r="H118" s="912">
        <f t="shared" si="67"/>
        <v>27412900</v>
      </c>
      <c r="I118" s="912">
        <f t="shared" si="67"/>
        <v>128146862</v>
      </c>
      <c r="J118" s="912">
        <f t="shared" si="67"/>
        <v>0</v>
      </c>
      <c r="K118" s="912">
        <f t="shared" si="67"/>
        <v>0</v>
      </c>
      <c r="L118" s="912">
        <f t="shared" si="67"/>
        <v>0</v>
      </c>
      <c r="M118" s="912">
        <f t="shared" si="67"/>
        <v>0</v>
      </c>
      <c r="N118" s="912">
        <f t="shared" si="67"/>
        <v>0</v>
      </c>
    </row>
    <row r="119" spans="1:14" s="896" customFormat="1" ht="15" customHeight="1">
      <c r="A119" s="2602"/>
      <c r="B119" s="2605"/>
      <c r="C119" s="936" t="s">
        <v>2544</v>
      </c>
      <c r="D119" s="702"/>
      <c r="E119" s="910"/>
      <c r="F119" s="911">
        <f t="shared" si="65"/>
        <v>0</v>
      </c>
      <c r="G119" s="1065"/>
      <c r="H119" s="1065"/>
      <c r="I119" s="1065"/>
      <c r="J119" s="1065"/>
      <c r="K119" s="1065"/>
      <c r="L119" s="1065"/>
      <c r="M119" s="1065"/>
      <c r="N119" s="1066"/>
    </row>
    <row r="120" spans="1:14" s="896" customFormat="1" ht="15" customHeight="1">
      <c r="A120" s="2602"/>
      <c r="B120" s="2606"/>
      <c r="C120" s="936" t="s">
        <v>2545</v>
      </c>
      <c r="D120" s="702"/>
      <c r="E120" s="910"/>
      <c r="F120" s="911">
        <f t="shared" si="65"/>
        <v>0</v>
      </c>
      <c r="G120" s="1065"/>
      <c r="H120" s="1065"/>
      <c r="I120" s="1065"/>
      <c r="J120" s="1065"/>
      <c r="K120" s="1065"/>
      <c r="L120" s="1065"/>
      <c r="M120" s="1065"/>
      <c r="N120" s="1066"/>
    </row>
    <row r="121" spans="1:14" s="896" customFormat="1" ht="15" customHeight="1">
      <c r="A121" s="2602"/>
      <c r="B121" s="2607" t="s">
        <v>2546</v>
      </c>
      <c r="C121" s="701" t="s">
        <v>2628</v>
      </c>
      <c r="D121" s="702"/>
      <c r="E121" s="910"/>
      <c r="F121" s="911">
        <f t="shared" si="65"/>
        <v>0</v>
      </c>
      <c r="G121" s="1065"/>
      <c r="H121" s="1065"/>
      <c r="I121" s="1065"/>
      <c r="J121" s="1065"/>
      <c r="K121" s="1065"/>
      <c r="L121" s="1065"/>
      <c r="M121" s="1065"/>
      <c r="N121" s="1066"/>
    </row>
    <row r="122" spans="1:14" s="896" customFormat="1" ht="15" customHeight="1">
      <c r="A122" s="2602"/>
      <c r="B122" s="2605"/>
      <c r="C122" s="701" t="s">
        <v>2548</v>
      </c>
      <c r="D122" s="702"/>
      <c r="E122" s="910"/>
      <c r="F122" s="911">
        <f t="shared" si="65"/>
        <v>0</v>
      </c>
      <c r="G122" s="1065"/>
      <c r="H122" s="1065"/>
      <c r="I122" s="1065"/>
      <c r="J122" s="1065"/>
      <c r="K122" s="1065"/>
      <c r="L122" s="1065"/>
      <c r="M122" s="1065"/>
      <c r="N122" s="1066"/>
    </row>
    <row r="123" spans="1:14" s="896" customFormat="1" ht="15" customHeight="1">
      <c r="A123" s="2602"/>
      <c r="B123" s="2605"/>
      <c r="C123" s="702" t="s">
        <v>2549</v>
      </c>
      <c r="D123" s="702"/>
      <c r="E123" s="910"/>
      <c r="F123" s="911">
        <f t="shared" si="65"/>
        <v>5623700</v>
      </c>
      <c r="G123" s="1065">
        <v>3622000</v>
      </c>
      <c r="H123" s="1065"/>
      <c r="I123" s="1065">
        <v>2001700</v>
      </c>
      <c r="J123" s="1065"/>
      <c r="K123" s="1065"/>
      <c r="L123" s="1065"/>
      <c r="M123" s="1065"/>
      <c r="N123" s="1066"/>
    </row>
    <row r="124" spans="1:14" s="896" customFormat="1" ht="15" customHeight="1">
      <c r="A124" s="2602"/>
      <c r="B124" s="2605"/>
      <c r="C124" s="702" t="s">
        <v>2629</v>
      </c>
      <c r="D124" s="702"/>
      <c r="E124" s="910"/>
      <c r="F124" s="911"/>
      <c r="G124" s="912"/>
      <c r="H124" s="912"/>
      <c r="I124" s="912"/>
      <c r="J124" s="912"/>
      <c r="K124" s="912"/>
      <c r="L124" s="912"/>
      <c r="M124" s="912"/>
      <c r="N124" s="913"/>
    </row>
    <row r="125" spans="1:14" s="896" customFormat="1" ht="15" customHeight="1">
      <c r="A125" s="2602"/>
      <c r="B125" s="2605"/>
      <c r="C125" s="702" t="s">
        <v>2551</v>
      </c>
      <c r="D125" s="702"/>
      <c r="E125" s="910"/>
      <c r="F125" s="911"/>
      <c r="G125" s="912"/>
      <c r="H125" s="912"/>
      <c r="I125" s="912"/>
      <c r="J125" s="912"/>
      <c r="K125" s="912"/>
      <c r="L125" s="912"/>
      <c r="M125" s="912"/>
      <c r="N125" s="913"/>
    </row>
    <row r="126" spans="1:14" s="896" customFormat="1" ht="15" customHeight="1">
      <c r="A126" s="2602"/>
      <c r="B126" s="2605"/>
      <c r="C126" s="702" t="s">
        <v>2552</v>
      </c>
      <c r="D126" s="702"/>
      <c r="E126" s="910"/>
      <c r="F126" s="911">
        <f t="shared" ref="F126:F136" si="68">SUM(G126:N126)</f>
        <v>0</v>
      </c>
      <c r="G126" s="1065"/>
      <c r="H126" s="1065"/>
      <c r="I126" s="1065"/>
      <c r="J126" s="1065"/>
      <c r="K126" s="1065"/>
      <c r="L126" s="1065"/>
      <c r="M126" s="1065"/>
      <c r="N126" s="1066"/>
    </row>
    <row r="127" spans="1:14" s="896" customFormat="1" ht="15" customHeight="1">
      <c r="A127" s="2602"/>
      <c r="B127" s="2605"/>
      <c r="C127" s="937" t="s">
        <v>2553</v>
      </c>
      <c r="D127" s="702"/>
      <c r="E127" s="910"/>
      <c r="F127" s="911">
        <f t="shared" si="68"/>
        <v>0</v>
      </c>
      <c r="G127" s="1065"/>
      <c r="H127" s="1065"/>
      <c r="I127" s="1065"/>
      <c r="J127" s="1065"/>
      <c r="K127" s="1065"/>
      <c r="L127" s="1065"/>
      <c r="M127" s="1065"/>
      <c r="N127" s="1066"/>
    </row>
    <row r="128" spans="1:14" s="896" customFormat="1" ht="15" customHeight="1">
      <c r="A128" s="2602"/>
      <c r="B128" s="2605"/>
      <c r="C128" s="938" t="s">
        <v>2631</v>
      </c>
      <c r="D128" s="702"/>
      <c r="E128" s="910"/>
      <c r="F128" s="911">
        <f t="shared" si="68"/>
        <v>0</v>
      </c>
      <c r="G128" s="1065"/>
      <c r="H128" s="1065"/>
      <c r="I128" s="1065"/>
      <c r="J128" s="1065"/>
      <c r="K128" s="1065"/>
      <c r="L128" s="1065"/>
      <c r="M128" s="1065"/>
      <c r="N128" s="1066"/>
    </row>
    <row r="129" spans="1:14" s="896" customFormat="1" ht="15" customHeight="1">
      <c r="A129" s="2602"/>
      <c r="B129" s="2606"/>
      <c r="C129" s="702" t="s">
        <v>2555</v>
      </c>
      <c r="D129" s="702"/>
      <c r="E129" s="910"/>
      <c r="F129" s="911">
        <f t="shared" si="68"/>
        <v>0</v>
      </c>
      <c r="G129" s="1065"/>
      <c r="H129" s="1065"/>
      <c r="I129" s="1065"/>
      <c r="J129" s="1065"/>
      <c r="K129" s="1065"/>
      <c r="L129" s="1065"/>
      <c r="M129" s="1065"/>
      <c r="N129" s="1066"/>
    </row>
    <row r="130" spans="1:14" s="896" customFormat="1" ht="15" customHeight="1">
      <c r="A130" s="2602"/>
      <c r="B130" s="2607" t="s">
        <v>2556</v>
      </c>
      <c r="C130" s="936" t="s">
        <v>2557</v>
      </c>
      <c r="D130" s="702"/>
      <c r="E130" s="910"/>
      <c r="F130" s="911">
        <f t="shared" si="68"/>
        <v>602934</v>
      </c>
      <c r="G130" s="1065">
        <v>96063</v>
      </c>
      <c r="H130" s="1065">
        <v>13658</v>
      </c>
      <c r="I130" s="1065">
        <v>493213</v>
      </c>
      <c r="J130" s="1065"/>
      <c r="K130" s="1065"/>
      <c r="L130" s="1065"/>
      <c r="M130" s="1065"/>
      <c r="N130" s="1066"/>
    </row>
    <row r="131" spans="1:14" s="896" customFormat="1" ht="15" customHeight="1">
      <c r="A131" s="2602"/>
      <c r="B131" s="2605"/>
      <c r="C131" s="936" t="s">
        <v>2558</v>
      </c>
      <c r="D131" s="702"/>
      <c r="E131" s="910"/>
      <c r="F131" s="911">
        <f t="shared" si="68"/>
        <v>0</v>
      </c>
      <c r="G131" s="912">
        <f t="shared" ref="G131:N131" si="69">+G100</f>
        <v>0</v>
      </c>
      <c r="H131" s="912">
        <f t="shared" si="69"/>
        <v>0</v>
      </c>
      <c r="I131" s="912">
        <f t="shared" si="69"/>
        <v>0</v>
      </c>
      <c r="J131" s="912">
        <f>+J100</f>
        <v>0</v>
      </c>
      <c r="K131" s="912">
        <f>+K100</f>
        <v>0</v>
      </c>
      <c r="L131" s="912">
        <f t="shared" si="69"/>
        <v>0</v>
      </c>
      <c r="M131" s="912">
        <f t="shared" si="69"/>
        <v>0</v>
      </c>
      <c r="N131" s="913">
        <f t="shared" si="69"/>
        <v>0</v>
      </c>
    </row>
    <row r="132" spans="1:14" s="896" customFormat="1" ht="15" customHeight="1">
      <c r="A132" s="2602"/>
      <c r="B132" s="2605"/>
      <c r="C132" s="702" t="s">
        <v>2559</v>
      </c>
      <c r="D132" s="702"/>
      <c r="E132" s="910"/>
      <c r="F132" s="911">
        <f t="shared" si="68"/>
        <v>0</v>
      </c>
      <c r="G132" s="912">
        <f>+G99</f>
        <v>0</v>
      </c>
      <c r="H132" s="912">
        <f t="shared" ref="H132:N132" si="70">+H99</f>
        <v>0</v>
      </c>
      <c r="I132" s="912">
        <f t="shared" si="70"/>
        <v>0</v>
      </c>
      <c r="J132" s="912">
        <f>+J99</f>
        <v>0</v>
      </c>
      <c r="K132" s="912">
        <f>+K99</f>
        <v>0</v>
      </c>
      <c r="L132" s="912">
        <f t="shared" si="70"/>
        <v>0</v>
      </c>
      <c r="M132" s="912">
        <f t="shared" si="70"/>
        <v>0</v>
      </c>
      <c r="N132" s="913">
        <f t="shared" si="70"/>
        <v>0</v>
      </c>
    </row>
    <row r="133" spans="1:14" s="896" customFormat="1" ht="15" customHeight="1">
      <c r="A133" s="2602"/>
      <c r="B133" s="2605"/>
      <c r="C133" s="702" t="s">
        <v>2560</v>
      </c>
      <c r="D133" s="702"/>
      <c r="E133" s="910"/>
      <c r="F133" s="911">
        <f t="shared" si="68"/>
        <v>0</v>
      </c>
      <c r="G133" s="1065"/>
      <c r="H133" s="1065"/>
      <c r="I133" s="1065"/>
      <c r="J133" s="1065"/>
      <c r="K133" s="1065"/>
      <c r="L133" s="1065"/>
      <c r="M133" s="1065"/>
      <c r="N133" s="1066"/>
    </row>
    <row r="134" spans="1:14" s="896" customFormat="1" ht="15" customHeight="1">
      <c r="A134" s="2602"/>
      <c r="B134" s="2605"/>
      <c r="C134" s="940" t="s">
        <v>2561</v>
      </c>
      <c r="D134" s="940"/>
      <c r="E134" s="941"/>
      <c r="F134" s="911">
        <f t="shared" si="68"/>
        <v>0</v>
      </c>
      <c r="G134" s="1095"/>
      <c r="H134" s="1095"/>
      <c r="I134" s="1095"/>
      <c r="J134" s="1095"/>
      <c r="K134" s="1095"/>
      <c r="L134" s="1095"/>
      <c r="M134" s="1095"/>
      <c r="N134" s="1096"/>
    </row>
    <row r="135" spans="1:14" s="896" customFormat="1" ht="15" customHeight="1">
      <c r="A135" s="2602"/>
      <c r="B135" s="2605"/>
      <c r="C135" s="940" t="s">
        <v>2562</v>
      </c>
      <c r="D135" s="940"/>
      <c r="E135" s="941"/>
      <c r="F135" s="911">
        <f t="shared" si="68"/>
        <v>0</v>
      </c>
      <c r="G135" s="1095"/>
      <c r="H135" s="1095"/>
      <c r="I135" s="1095"/>
      <c r="J135" s="1095"/>
      <c r="K135" s="1095"/>
      <c r="L135" s="1095"/>
      <c r="M135" s="1095"/>
      <c r="N135" s="1096"/>
    </row>
    <row r="136" spans="1:14" s="896" customFormat="1" ht="15" customHeight="1">
      <c r="A136" s="2603"/>
      <c r="B136" s="2608"/>
      <c r="C136" s="944" t="s">
        <v>2563</v>
      </c>
      <c r="D136" s="944"/>
      <c r="E136" s="945"/>
      <c r="F136" s="946">
        <f t="shared" si="68"/>
        <v>0</v>
      </c>
      <c r="G136" s="1097"/>
      <c r="H136" s="1097"/>
      <c r="I136" s="1097"/>
      <c r="J136" s="1097"/>
      <c r="K136" s="1097"/>
      <c r="L136" s="1097"/>
      <c r="M136" s="1097"/>
      <c r="N136" s="1098"/>
    </row>
    <row r="137" spans="1:14" s="896" customFormat="1" ht="15" hidden="1" customHeight="1">
      <c r="A137" s="1295"/>
      <c r="B137" s="1295"/>
      <c r="C137" s="1099" t="s">
        <v>2632</v>
      </c>
      <c r="D137" s="1099"/>
      <c r="E137" s="923"/>
      <c r="F137" s="1042"/>
      <c r="G137" s="1046"/>
      <c r="H137" s="1046"/>
      <c r="I137" s="1046"/>
      <c r="J137" s="1046"/>
      <c r="K137" s="1046"/>
      <c r="L137" s="1046"/>
      <c r="M137" s="1046"/>
      <c r="N137" s="1100" t="s">
        <v>2633</v>
      </c>
    </row>
    <row r="138" spans="1:14" s="896" customFormat="1" ht="15" hidden="1" customHeight="1">
      <c r="A138" s="1295"/>
      <c r="B138" s="1295"/>
      <c r="C138" s="930" t="s">
        <v>2634</v>
      </c>
      <c r="D138" s="930"/>
      <c r="E138" s="923"/>
      <c r="F138" s="1042"/>
      <c r="G138" s="1046"/>
      <c r="H138" s="1046"/>
      <c r="I138" s="1046"/>
      <c r="J138" s="1046"/>
      <c r="K138" s="1046"/>
      <c r="L138" s="1046"/>
      <c r="M138" s="1046"/>
      <c r="N138" s="1100"/>
    </row>
    <row r="139" spans="1:14" s="896" customFormat="1" ht="15" hidden="1" customHeight="1">
      <c r="A139" s="877"/>
      <c r="B139" s="878"/>
      <c r="C139" s="878"/>
      <c r="D139" s="2616" t="s">
        <v>2635</v>
      </c>
      <c r="E139" s="2616" t="s">
        <v>2636</v>
      </c>
      <c r="F139" s="1092" t="s">
        <v>2517</v>
      </c>
      <c r="G139" s="1093" t="str">
        <f t="shared" ref="G139:N139" si="71">+G86</f>
        <v>工事6</v>
      </c>
      <c r="H139" s="1093" t="str">
        <f t="shared" si="71"/>
        <v>工事7</v>
      </c>
      <c r="I139" s="1093" t="str">
        <f t="shared" si="71"/>
        <v>工事8</v>
      </c>
      <c r="J139" s="1093">
        <f t="shared" si="71"/>
        <v>0</v>
      </c>
      <c r="K139" s="1093">
        <f t="shared" si="71"/>
        <v>0</v>
      </c>
      <c r="L139" s="1093">
        <f t="shared" si="71"/>
        <v>0</v>
      </c>
      <c r="M139" s="1093">
        <f t="shared" si="71"/>
        <v>0</v>
      </c>
      <c r="N139" s="1094">
        <f t="shared" si="71"/>
        <v>0</v>
      </c>
    </row>
    <row r="140" spans="1:14" s="896" customFormat="1" ht="15" hidden="1" customHeight="1">
      <c r="A140" s="2618" t="s">
        <v>2637</v>
      </c>
      <c r="B140" s="2619"/>
      <c r="C140" s="2620"/>
      <c r="D140" s="2617"/>
      <c r="E140" s="2617"/>
      <c r="F140" s="1101"/>
      <c r="G140" s="1102"/>
      <c r="H140" s="1102"/>
      <c r="I140" s="1102"/>
      <c r="J140" s="1102"/>
      <c r="K140" s="1102"/>
      <c r="L140" s="1102"/>
      <c r="M140" s="1102"/>
      <c r="N140" s="1103"/>
    </row>
    <row r="141" spans="1:14" s="896" customFormat="1" ht="15" hidden="1" customHeight="1">
      <c r="A141" s="2621"/>
      <c r="B141" s="1104" t="s">
        <v>2638</v>
      </c>
      <c r="C141" s="1105"/>
      <c r="D141" s="1106"/>
      <c r="E141" s="1107"/>
      <c r="F141" s="1108">
        <f t="shared" ref="F141:F148" si="72">SUM(G141:N141)</f>
        <v>197228679</v>
      </c>
      <c r="G141" s="1109">
        <f>SUM(G117:G129)+G133</f>
        <v>39667217</v>
      </c>
      <c r="H141" s="1109">
        <f t="shared" ref="H141:N141" si="73">SUM(H117:H129)+H133</f>
        <v>27412900</v>
      </c>
      <c r="I141" s="1109">
        <f t="shared" si="73"/>
        <v>130148562</v>
      </c>
      <c r="J141" s="1109">
        <f t="shared" si="73"/>
        <v>0</v>
      </c>
      <c r="K141" s="1109">
        <f t="shared" si="73"/>
        <v>0</v>
      </c>
      <c r="L141" s="1109">
        <f t="shared" si="73"/>
        <v>0</v>
      </c>
      <c r="M141" s="1109">
        <f t="shared" si="73"/>
        <v>0</v>
      </c>
      <c r="N141" s="1109">
        <f t="shared" si="73"/>
        <v>0</v>
      </c>
    </row>
    <row r="142" spans="1:14" s="896" customFormat="1" ht="15" hidden="1" customHeight="1">
      <c r="A142" s="2622"/>
      <c r="B142" s="2607" t="s">
        <v>2541</v>
      </c>
      <c r="C142" s="1110" t="s">
        <v>2542</v>
      </c>
      <c r="D142" s="1111">
        <v>1</v>
      </c>
      <c r="E142" s="1112" t="s">
        <v>2639</v>
      </c>
      <c r="F142" s="911">
        <f t="shared" si="72"/>
        <v>0</v>
      </c>
      <c r="G142" s="912">
        <f t="shared" ref="G142:N142" si="74">IF(G88="積上げ",0,+G117)</f>
        <v>0</v>
      </c>
      <c r="H142" s="912">
        <f t="shared" si="74"/>
        <v>0</v>
      </c>
      <c r="I142" s="912">
        <f t="shared" si="74"/>
        <v>0</v>
      </c>
      <c r="J142" s="912">
        <f t="shared" si="74"/>
        <v>0</v>
      </c>
      <c r="K142" s="912">
        <f t="shared" si="74"/>
        <v>0</v>
      </c>
      <c r="L142" s="912">
        <f t="shared" si="74"/>
        <v>0</v>
      </c>
      <c r="M142" s="912">
        <f t="shared" si="74"/>
        <v>0</v>
      </c>
      <c r="N142" s="912">
        <f t="shared" si="74"/>
        <v>0</v>
      </c>
    </row>
    <row r="143" spans="1:14" s="896" customFormat="1" ht="15" hidden="1" customHeight="1">
      <c r="A143" s="2622"/>
      <c r="B143" s="2605"/>
      <c r="C143" s="1110" t="s">
        <v>2543</v>
      </c>
      <c r="D143" s="1111">
        <v>1</v>
      </c>
      <c r="E143" s="1112" t="s">
        <v>2639</v>
      </c>
      <c r="F143" s="911">
        <f t="shared" si="72"/>
        <v>191604979</v>
      </c>
      <c r="G143" s="912">
        <f t="shared" ref="G143:N143" si="75">IF(G88="積上げ",0,+G118)</f>
        <v>36045217</v>
      </c>
      <c r="H143" s="912">
        <f t="shared" si="75"/>
        <v>27412900</v>
      </c>
      <c r="I143" s="912">
        <f t="shared" si="75"/>
        <v>128146862</v>
      </c>
      <c r="J143" s="912">
        <f t="shared" si="75"/>
        <v>0</v>
      </c>
      <c r="K143" s="912">
        <f t="shared" si="75"/>
        <v>0</v>
      </c>
      <c r="L143" s="912">
        <f t="shared" si="75"/>
        <v>0</v>
      </c>
      <c r="M143" s="912">
        <f t="shared" si="75"/>
        <v>0</v>
      </c>
      <c r="N143" s="912">
        <f t="shared" si="75"/>
        <v>0</v>
      </c>
    </row>
    <row r="144" spans="1:14" s="896" customFormat="1" ht="15" hidden="1" customHeight="1">
      <c r="A144" s="2622"/>
      <c r="B144" s="2605"/>
      <c r="C144" s="1110" t="s">
        <v>2640</v>
      </c>
      <c r="D144" s="1111">
        <v>0.9</v>
      </c>
      <c r="E144" s="1112" t="s">
        <v>2639</v>
      </c>
      <c r="F144" s="911">
        <f t="shared" si="72"/>
        <v>0</v>
      </c>
      <c r="G144" s="912">
        <f t="shared" ref="G144:N144" si="76">IF(G88="積上げ",0,+G119)</f>
        <v>0</v>
      </c>
      <c r="H144" s="912">
        <f t="shared" si="76"/>
        <v>0</v>
      </c>
      <c r="I144" s="912">
        <f t="shared" si="76"/>
        <v>0</v>
      </c>
      <c r="J144" s="912">
        <f t="shared" si="76"/>
        <v>0</v>
      </c>
      <c r="K144" s="912">
        <f t="shared" si="76"/>
        <v>0</v>
      </c>
      <c r="L144" s="912">
        <f t="shared" si="76"/>
        <v>0</v>
      </c>
      <c r="M144" s="912">
        <f t="shared" si="76"/>
        <v>0</v>
      </c>
      <c r="N144" s="912">
        <f t="shared" si="76"/>
        <v>0</v>
      </c>
    </row>
    <row r="145" spans="1:14" s="896" customFormat="1" ht="15" hidden="1" customHeight="1">
      <c r="A145" s="2622"/>
      <c r="B145" s="2606"/>
      <c r="C145" s="1110" t="s">
        <v>2641</v>
      </c>
      <c r="D145" s="1111">
        <v>0.9</v>
      </c>
      <c r="E145" s="1112" t="s">
        <v>2639</v>
      </c>
      <c r="F145" s="911">
        <f t="shared" si="72"/>
        <v>0</v>
      </c>
      <c r="G145" s="912">
        <f t="shared" ref="G145:N145" si="77">IF(G88="積上げ",0,+G120)</f>
        <v>0</v>
      </c>
      <c r="H145" s="912">
        <f t="shared" si="77"/>
        <v>0</v>
      </c>
      <c r="I145" s="912">
        <f t="shared" si="77"/>
        <v>0</v>
      </c>
      <c r="J145" s="912">
        <f t="shared" si="77"/>
        <v>0</v>
      </c>
      <c r="K145" s="912">
        <f t="shared" si="77"/>
        <v>0</v>
      </c>
      <c r="L145" s="912">
        <f t="shared" si="77"/>
        <v>0</v>
      </c>
      <c r="M145" s="912">
        <f t="shared" si="77"/>
        <v>0</v>
      </c>
      <c r="N145" s="912">
        <f t="shared" si="77"/>
        <v>0</v>
      </c>
    </row>
    <row r="146" spans="1:14" s="896" customFormat="1" ht="15" hidden="1" customHeight="1">
      <c r="A146" s="2622"/>
      <c r="B146" s="2607" t="s">
        <v>2546</v>
      </c>
      <c r="C146" s="1110" t="s">
        <v>2642</v>
      </c>
      <c r="D146" s="1111">
        <v>1</v>
      </c>
      <c r="E146" s="1113">
        <v>0.01</v>
      </c>
      <c r="F146" s="911">
        <f t="shared" si="72"/>
        <v>0</v>
      </c>
      <c r="G146" s="912">
        <f t="shared" ref="G146:N146" si="78">IF(G88="積上げ",0,+G121)</f>
        <v>0</v>
      </c>
      <c r="H146" s="912">
        <f t="shared" si="78"/>
        <v>0</v>
      </c>
      <c r="I146" s="912">
        <f t="shared" si="78"/>
        <v>0</v>
      </c>
      <c r="J146" s="912">
        <f t="shared" si="78"/>
        <v>0</v>
      </c>
      <c r="K146" s="912">
        <f t="shared" si="78"/>
        <v>0</v>
      </c>
      <c r="L146" s="912">
        <f t="shared" si="78"/>
        <v>0</v>
      </c>
      <c r="M146" s="912">
        <f t="shared" si="78"/>
        <v>0</v>
      </c>
      <c r="N146" s="912">
        <f t="shared" si="78"/>
        <v>0</v>
      </c>
    </row>
    <row r="147" spans="1:14" s="896" customFormat="1" ht="15" hidden="1" customHeight="1">
      <c r="A147" s="2622"/>
      <c r="B147" s="2605"/>
      <c r="C147" s="1110" t="s">
        <v>2643</v>
      </c>
      <c r="D147" s="1111">
        <v>1</v>
      </c>
      <c r="E147" s="1113">
        <v>0.01</v>
      </c>
      <c r="F147" s="911">
        <f t="shared" si="72"/>
        <v>0</v>
      </c>
      <c r="G147" s="912">
        <f t="shared" ref="G147:N147" si="79">IF(G88="積上げ",0,G122)</f>
        <v>0</v>
      </c>
      <c r="H147" s="912">
        <f t="shared" si="79"/>
        <v>0</v>
      </c>
      <c r="I147" s="912">
        <f t="shared" si="79"/>
        <v>0</v>
      </c>
      <c r="J147" s="912">
        <f t="shared" si="79"/>
        <v>0</v>
      </c>
      <c r="K147" s="912">
        <f t="shared" si="79"/>
        <v>0</v>
      </c>
      <c r="L147" s="912">
        <f t="shared" si="79"/>
        <v>0</v>
      </c>
      <c r="M147" s="912">
        <f t="shared" si="79"/>
        <v>0</v>
      </c>
      <c r="N147" s="912">
        <f t="shared" si="79"/>
        <v>0</v>
      </c>
    </row>
    <row r="148" spans="1:14" s="896" customFormat="1" ht="15" hidden="1" customHeight="1">
      <c r="A148" s="2622"/>
      <c r="B148" s="2605"/>
      <c r="C148" s="1110" t="s">
        <v>2549</v>
      </c>
      <c r="D148" s="1111">
        <v>1</v>
      </c>
      <c r="E148" s="1113">
        <v>0.01</v>
      </c>
      <c r="F148" s="911">
        <f t="shared" si="72"/>
        <v>5623700</v>
      </c>
      <c r="G148" s="912">
        <f t="shared" ref="G148:N148" si="80">IF(G88="積上げ",0,G123)</f>
        <v>3622000</v>
      </c>
      <c r="H148" s="912">
        <f t="shared" si="80"/>
        <v>0</v>
      </c>
      <c r="I148" s="912">
        <f t="shared" si="80"/>
        <v>2001700</v>
      </c>
      <c r="J148" s="912">
        <f t="shared" si="80"/>
        <v>0</v>
      </c>
      <c r="K148" s="912">
        <f t="shared" si="80"/>
        <v>0</v>
      </c>
      <c r="L148" s="912">
        <f t="shared" si="80"/>
        <v>0</v>
      </c>
      <c r="M148" s="912">
        <f t="shared" si="80"/>
        <v>0</v>
      </c>
      <c r="N148" s="912">
        <f t="shared" si="80"/>
        <v>0</v>
      </c>
    </row>
    <row r="149" spans="1:14" s="896" customFormat="1" ht="14.25" hidden="1" customHeight="1">
      <c r="A149" s="2622"/>
      <c r="B149" s="2605"/>
      <c r="C149" s="1110" t="s">
        <v>2629</v>
      </c>
      <c r="D149" s="1111"/>
      <c r="E149" s="1113"/>
      <c r="F149" s="911"/>
      <c r="G149" s="912"/>
      <c r="H149" s="912"/>
      <c r="I149" s="912"/>
      <c r="J149" s="912"/>
      <c r="K149" s="912"/>
      <c r="L149" s="912"/>
      <c r="M149" s="912"/>
      <c r="N149" s="912"/>
    </row>
    <row r="150" spans="1:14" s="896" customFormat="1" ht="14.25" hidden="1" customHeight="1">
      <c r="A150" s="2622"/>
      <c r="B150" s="2605"/>
      <c r="C150" s="1110" t="s">
        <v>2551</v>
      </c>
      <c r="D150" s="1111"/>
      <c r="E150" s="1113"/>
      <c r="F150" s="911"/>
      <c r="G150" s="912"/>
      <c r="H150" s="912"/>
      <c r="I150" s="912"/>
      <c r="J150" s="912"/>
      <c r="K150" s="912"/>
      <c r="L150" s="912"/>
      <c r="M150" s="912"/>
      <c r="N150" s="912"/>
    </row>
    <row r="151" spans="1:14" s="896" customFormat="1" ht="15" hidden="1" customHeight="1">
      <c r="A151" s="2622"/>
      <c r="B151" s="2605"/>
      <c r="C151" s="1110" t="s">
        <v>2552</v>
      </c>
      <c r="D151" s="1111">
        <v>1</v>
      </c>
      <c r="E151" s="1113">
        <v>0.01</v>
      </c>
      <c r="F151" s="911">
        <f>SUM(G151:N151)</f>
        <v>0</v>
      </c>
      <c r="G151" s="912">
        <f t="shared" ref="G151:N151" si="81">IF(G88="積上げ",0,+G126)</f>
        <v>0</v>
      </c>
      <c r="H151" s="912">
        <f t="shared" si="81"/>
        <v>0</v>
      </c>
      <c r="I151" s="912">
        <f t="shared" si="81"/>
        <v>0</v>
      </c>
      <c r="J151" s="912">
        <f t="shared" si="81"/>
        <v>0</v>
      </c>
      <c r="K151" s="912">
        <f t="shared" si="81"/>
        <v>0</v>
      </c>
      <c r="L151" s="912">
        <f t="shared" si="81"/>
        <v>0</v>
      </c>
      <c r="M151" s="912">
        <f t="shared" si="81"/>
        <v>0</v>
      </c>
      <c r="N151" s="912">
        <f t="shared" si="81"/>
        <v>0</v>
      </c>
    </row>
    <row r="152" spans="1:14" s="896" customFormat="1" ht="15" hidden="1" customHeight="1">
      <c r="A152" s="2622"/>
      <c r="B152" s="2605"/>
      <c r="C152" s="1114" t="s">
        <v>2553</v>
      </c>
      <c r="D152" s="1111">
        <v>1</v>
      </c>
      <c r="E152" s="1113">
        <v>0.01</v>
      </c>
      <c r="F152" s="911">
        <f>SUM(G152:N152)</f>
        <v>0</v>
      </c>
      <c r="G152" s="912">
        <f t="shared" ref="G152:N152" si="82">IF(G88="積上げ",0,+G127)</f>
        <v>0</v>
      </c>
      <c r="H152" s="912">
        <f t="shared" si="82"/>
        <v>0</v>
      </c>
      <c r="I152" s="912">
        <f t="shared" si="82"/>
        <v>0</v>
      </c>
      <c r="J152" s="912">
        <f t="shared" si="82"/>
        <v>0</v>
      </c>
      <c r="K152" s="912">
        <f t="shared" si="82"/>
        <v>0</v>
      </c>
      <c r="L152" s="912">
        <f t="shared" si="82"/>
        <v>0</v>
      </c>
      <c r="M152" s="912">
        <f t="shared" si="82"/>
        <v>0</v>
      </c>
      <c r="N152" s="912">
        <f t="shared" si="82"/>
        <v>0</v>
      </c>
    </row>
    <row r="153" spans="1:14" s="896" customFormat="1" ht="15" hidden="1" customHeight="1">
      <c r="A153" s="2622"/>
      <c r="B153" s="2605"/>
      <c r="C153" s="1114" t="s">
        <v>2631</v>
      </c>
      <c r="D153" s="1111">
        <v>1</v>
      </c>
      <c r="E153" s="1113">
        <v>0.01</v>
      </c>
      <c r="F153" s="911">
        <f>SUM(G153:N153)</f>
        <v>0</v>
      </c>
      <c r="G153" s="912">
        <f t="shared" ref="G153:N153" si="83">IF(G88="積上げ",0,+G128)</f>
        <v>0</v>
      </c>
      <c r="H153" s="912">
        <f t="shared" si="83"/>
        <v>0</v>
      </c>
      <c r="I153" s="912">
        <f t="shared" si="83"/>
        <v>0</v>
      </c>
      <c r="J153" s="912">
        <f t="shared" si="83"/>
        <v>0</v>
      </c>
      <c r="K153" s="912">
        <f t="shared" si="83"/>
        <v>0</v>
      </c>
      <c r="L153" s="912">
        <f t="shared" si="83"/>
        <v>0</v>
      </c>
      <c r="M153" s="912">
        <f t="shared" si="83"/>
        <v>0</v>
      </c>
      <c r="N153" s="912">
        <f t="shared" si="83"/>
        <v>0</v>
      </c>
    </row>
    <row r="154" spans="1:14" s="896" customFormat="1" ht="15" hidden="1" customHeight="1">
      <c r="A154" s="2622"/>
      <c r="B154" s="2606"/>
      <c r="C154" s="1110" t="s">
        <v>2555</v>
      </c>
      <c r="D154" s="1111">
        <v>1</v>
      </c>
      <c r="E154" s="1113">
        <v>0.01</v>
      </c>
      <c r="F154" s="911">
        <f>SUM(G154:N154)</f>
        <v>0</v>
      </c>
      <c r="G154" s="912">
        <f t="shared" ref="G154:N154" si="84">IF(G88="積上げ",0,+G129)</f>
        <v>0</v>
      </c>
      <c r="H154" s="912">
        <f t="shared" si="84"/>
        <v>0</v>
      </c>
      <c r="I154" s="912">
        <f t="shared" si="84"/>
        <v>0</v>
      </c>
      <c r="J154" s="912">
        <f t="shared" si="84"/>
        <v>0</v>
      </c>
      <c r="K154" s="912">
        <f t="shared" si="84"/>
        <v>0</v>
      </c>
      <c r="L154" s="912">
        <f t="shared" si="84"/>
        <v>0</v>
      </c>
      <c r="M154" s="912">
        <f t="shared" si="84"/>
        <v>0</v>
      </c>
      <c r="N154" s="912">
        <f t="shared" si="84"/>
        <v>0</v>
      </c>
    </row>
    <row r="155" spans="1:14" s="896" customFormat="1" ht="15" hidden="1" customHeight="1">
      <c r="A155" s="2623"/>
      <c r="B155" s="1115" t="s">
        <v>2644</v>
      </c>
      <c r="C155" s="1116" t="s">
        <v>2645</v>
      </c>
      <c r="D155" s="1117">
        <v>1</v>
      </c>
      <c r="E155" s="1118">
        <v>0</v>
      </c>
      <c r="F155" s="946">
        <f>SUM(G155:N155)</f>
        <v>602934</v>
      </c>
      <c r="G155" s="1073">
        <f t="shared" ref="G155:N155" si="85">IF(G88="積上げ",0,SUM(G133:G136)+G130)</f>
        <v>96063</v>
      </c>
      <c r="H155" s="1073">
        <f t="shared" si="85"/>
        <v>13658</v>
      </c>
      <c r="I155" s="1073">
        <f t="shared" si="85"/>
        <v>493213</v>
      </c>
      <c r="J155" s="1073">
        <f t="shared" si="85"/>
        <v>0</v>
      </c>
      <c r="K155" s="1073">
        <f t="shared" si="85"/>
        <v>0</v>
      </c>
      <c r="L155" s="1073">
        <f t="shared" si="85"/>
        <v>0</v>
      </c>
      <c r="M155" s="1073">
        <f t="shared" si="85"/>
        <v>0</v>
      </c>
      <c r="N155" s="1073">
        <f t="shared" si="85"/>
        <v>0</v>
      </c>
    </row>
    <row r="156" spans="1:14" s="896" customFormat="1" ht="15" hidden="1" customHeight="1">
      <c r="A156" s="1119"/>
      <c r="B156" s="1120"/>
      <c r="C156" s="1121"/>
      <c r="D156" s="2624"/>
      <c r="E156" s="2624"/>
      <c r="F156" s="1108"/>
      <c r="G156" s="1109"/>
      <c r="H156" s="1109"/>
      <c r="I156" s="1109"/>
      <c r="J156" s="1109"/>
      <c r="K156" s="1109"/>
      <c r="L156" s="1109"/>
      <c r="M156" s="1109"/>
      <c r="N156" s="1122"/>
    </row>
    <row r="157" spans="1:14" s="896" customFormat="1" ht="15" hidden="1" customHeight="1">
      <c r="A157" s="2618" t="s">
        <v>2646</v>
      </c>
      <c r="B157" s="2619"/>
      <c r="C157" s="2620"/>
      <c r="D157" s="2625"/>
      <c r="E157" s="2625"/>
      <c r="F157" s="1101"/>
      <c r="G157" s="1102"/>
      <c r="H157" s="1102"/>
      <c r="I157" s="1102"/>
      <c r="J157" s="1102"/>
      <c r="K157" s="1102"/>
      <c r="L157" s="1102"/>
      <c r="M157" s="1102"/>
      <c r="N157" s="1103"/>
    </row>
    <row r="158" spans="1:14" s="896" customFormat="1" ht="15" hidden="1" customHeight="1">
      <c r="A158" s="2621"/>
      <c r="B158" s="2604" t="s">
        <v>2541</v>
      </c>
      <c r="C158" s="1123" t="s">
        <v>2542</v>
      </c>
      <c r="D158" s="1124"/>
      <c r="E158" s="1125" t="s">
        <v>2639</v>
      </c>
      <c r="F158" s="1126" t="s">
        <v>2647</v>
      </c>
      <c r="G158" s="1127">
        <f t="shared" ref="G158:N158" si="86">IF(G142=0,0,IF(G90="有り",+G264/100,G265/100))</f>
        <v>0</v>
      </c>
      <c r="H158" s="1127">
        <f t="shared" si="86"/>
        <v>0</v>
      </c>
      <c r="I158" s="1127">
        <f t="shared" si="86"/>
        <v>0</v>
      </c>
      <c r="J158" s="1127">
        <f t="shared" si="86"/>
        <v>0</v>
      </c>
      <c r="K158" s="1127">
        <f t="shared" si="86"/>
        <v>0</v>
      </c>
      <c r="L158" s="1127">
        <f t="shared" si="86"/>
        <v>0</v>
      </c>
      <c r="M158" s="1127">
        <f t="shared" si="86"/>
        <v>0</v>
      </c>
      <c r="N158" s="1128">
        <f t="shared" si="86"/>
        <v>0</v>
      </c>
    </row>
    <row r="159" spans="1:14" s="896" customFormat="1" ht="15" hidden="1" customHeight="1">
      <c r="A159" s="2622"/>
      <c r="B159" s="2605"/>
      <c r="C159" s="1129"/>
      <c r="D159" s="1130">
        <f>+D142</f>
        <v>1</v>
      </c>
      <c r="E159" s="1131" t="s">
        <v>2639</v>
      </c>
      <c r="F159" s="1064">
        <f>SUM(G159:N159)</f>
        <v>0</v>
      </c>
      <c r="G159" s="1080">
        <f>ROUNDDOWN(G142*G158*$D159,0)</f>
        <v>0</v>
      </c>
      <c r="H159" s="1080">
        <f t="shared" ref="H159:N159" si="87">ROUNDDOWN(H142*H158*$D159,0)</f>
        <v>0</v>
      </c>
      <c r="I159" s="1080">
        <f t="shared" si="87"/>
        <v>0</v>
      </c>
      <c r="J159" s="1080">
        <f t="shared" si="87"/>
        <v>0</v>
      </c>
      <c r="K159" s="1080">
        <f>ROUNDDOWN(K142*K158*$D159,0)</f>
        <v>0</v>
      </c>
      <c r="L159" s="1080">
        <f t="shared" si="87"/>
        <v>0</v>
      </c>
      <c r="M159" s="1080">
        <f t="shared" si="87"/>
        <v>0</v>
      </c>
      <c r="N159" s="1081">
        <f t="shared" si="87"/>
        <v>0</v>
      </c>
    </row>
    <row r="160" spans="1:14" s="896" customFormat="1" ht="15" hidden="1" customHeight="1">
      <c r="A160" s="2622"/>
      <c r="B160" s="2605"/>
      <c r="C160" s="1132" t="s">
        <v>2543</v>
      </c>
      <c r="D160" s="1133"/>
      <c r="E160" s="1131" t="s">
        <v>2639</v>
      </c>
      <c r="F160" s="1134" t="s">
        <v>2647</v>
      </c>
      <c r="G160" s="1135">
        <f t="shared" ref="G160:N160" si="88">IF(G143=0,0,IF(G90="有り",G273/100,+G274/100))</f>
        <v>3.2000000000000001E-2</v>
      </c>
      <c r="H160" s="1135">
        <f t="shared" si="88"/>
        <v>2.7900000000000001E-2</v>
      </c>
      <c r="I160" s="1135">
        <f t="shared" si="88"/>
        <v>3.2000000000000001E-2</v>
      </c>
      <c r="J160" s="1135">
        <f t="shared" si="88"/>
        <v>0</v>
      </c>
      <c r="K160" s="1135">
        <f t="shared" si="88"/>
        <v>0</v>
      </c>
      <c r="L160" s="1135">
        <f t="shared" si="88"/>
        <v>0</v>
      </c>
      <c r="M160" s="1135">
        <f t="shared" si="88"/>
        <v>0</v>
      </c>
      <c r="N160" s="1136">
        <f t="shared" si="88"/>
        <v>0</v>
      </c>
    </row>
    <row r="161" spans="1:14" s="896" customFormat="1" ht="15" hidden="1" customHeight="1">
      <c r="A161" s="2622"/>
      <c r="B161" s="2605"/>
      <c r="C161" s="1129"/>
      <c r="D161" s="1137">
        <f t="shared" ref="D161:D166" si="89">+D143</f>
        <v>1</v>
      </c>
      <c r="E161" s="1131" t="s">
        <v>2639</v>
      </c>
      <c r="F161" s="1064">
        <f>SUM(G161:N161)</f>
        <v>6018964</v>
      </c>
      <c r="G161" s="1080">
        <f>ROUNDDOWN(G143*G160*$D161,0)</f>
        <v>1153446</v>
      </c>
      <c r="H161" s="1080">
        <f t="shared" ref="H161:N161" si="90">ROUNDDOWN(H143*H160*$D161,0)</f>
        <v>764819</v>
      </c>
      <c r="I161" s="1080">
        <f t="shared" si="90"/>
        <v>4100699</v>
      </c>
      <c r="J161" s="1080">
        <f t="shared" si="90"/>
        <v>0</v>
      </c>
      <c r="K161" s="1080">
        <f>ROUNDDOWN(K143*K160*$D161,0)</f>
        <v>0</v>
      </c>
      <c r="L161" s="1080">
        <f t="shared" si="90"/>
        <v>0</v>
      </c>
      <c r="M161" s="1080">
        <f t="shared" si="90"/>
        <v>0</v>
      </c>
      <c r="N161" s="1081">
        <f t="shared" si="90"/>
        <v>0</v>
      </c>
    </row>
    <row r="162" spans="1:14" s="896" customFormat="1" ht="15" hidden="1" customHeight="1">
      <c r="A162" s="2622"/>
      <c r="B162" s="2605"/>
      <c r="C162" s="1110" t="s">
        <v>2565</v>
      </c>
      <c r="D162" s="1138">
        <v>0.9</v>
      </c>
      <c r="E162" s="1131" t="s">
        <v>2639</v>
      </c>
      <c r="F162" s="1064">
        <f>SUM(G162:N162)</f>
        <v>0</v>
      </c>
      <c r="G162" s="1080">
        <f>ROUNDDOWN(G144*G158*$D162,0)</f>
        <v>0</v>
      </c>
      <c r="H162" s="1080">
        <f t="shared" ref="H162:N162" si="91">ROUNDDOWN(H144*H158*$D162,0)</f>
        <v>0</v>
      </c>
      <c r="I162" s="1080">
        <f t="shared" si="91"/>
        <v>0</v>
      </c>
      <c r="J162" s="1080">
        <f t="shared" si="91"/>
        <v>0</v>
      </c>
      <c r="K162" s="1080">
        <f>ROUNDDOWN(K144*K158*$D162,0)</f>
        <v>0</v>
      </c>
      <c r="L162" s="1080">
        <f t="shared" si="91"/>
        <v>0</v>
      </c>
      <c r="M162" s="1080">
        <f t="shared" si="91"/>
        <v>0</v>
      </c>
      <c r="N162" s="1081">
        <f t="shared" si="91"/>
        <v>0</v>
      </c>
    </row>
    <row r="163" spans="1:14" s="896" customFormat="1" ht="15" hidden="1" customHeight="1">
      <c r="A163" s="2622"/>
      <c r="B163" s="2606"/>
      <c r="C163" s="1110" t="s">
        <v>2566</v>
      </c>
      <c r="D163" s="1138">
        <v>0.9</v>
      </c>
      <c r="E163" s="1131" t="s">
        <v>2639</v>
      </c>
      <c r="F163" s="1064">
        <f>SUM(G163:N163)</f>
        <v>0</v>
      </c>
      <c r="G163" s="1080">
        <f>ROUNDDOWN(G145*G160*$D163,0)</f>
        <v>0</v>
      </c>
      <c r="H163" s="1080">
        <f t="shared" ref="H163:N163" si="92">ROUNDDOWN(H145*H160*$D163,0)</f>
        <v>0</v>
      </c>
      <c r="I163" s="1080">
        <f t="shared" si="92"/>
        <v>0</v>
      </c>
      <c r="J163" s="1080">
        <f t="shared" si="92"/>
        <v>0</v>
      </c>
      <c r="K163" s="1080">
        <f>ROUNDDOWN(K145*K160*$D163,0)</f>
        <v>0</v>
      </c>
      <c r="L163" s="1080">
        <f t="shared" si="92"/>
        <v>0</v>
      </c>
      <c r="M163" s="1080">
        <f t="shared" si="92"/>
        <v>0</v>
      </c>
      <c r="N163" s="1081">
        <f t="shared" si="92"/>
        <v>0</v>
      </c>
    </row>
    <row r="164" spans="1:14" s="896" customFormat="1" ht="15" hidden="1" customHeight="1">
      <c r="A164" s="2622"/>
      <c r="B164" s="2607" t="s">
        <v>2546</v>
      </c>
      <c r="C164" s="1110" t="s">
        <v>2642</v>
      </c>
      <c r="D164" s="1138">
        <f>+D146</f>
        <v>1</v>
      </c>
      <c r="E164" s="1113">
        <f>+E146</f>
        <v>0.01</v>
      </c>
      <c r="F164" s="911">
        <v>0</v>
      </c>
      <c r="G164" s="1080">
        <f t="shared" ref="G164:N173" si="93">ROUNDDOWN(G146*$E164*$D164,0)</f>
        <v>0</v>
      </c>
      <c r="H164" s="1080">
        <f t="shared" si="93"/>
        <v>0</v>
      </c>
      <c r="I164" s="1080">
        <f t="shared" si="93"/>
        <v>0</v>
      </c>
      <c r="J164" s="1080">
        <f t="shared" si="93"/>
        <v>0</v>
      </c>
      <c r="K164" s="1080">
        <f t="shared" si="93"/>
        <v>0</v>
      </c>
      <c r="L164" s="1080">
        <f t="shared" si="93"/>
        <v>0</v>
      </c>
      <c r="M164" s="1080">
        <f t="shared" si="93"/>
        <v>0</v>
      </c>
      <c r="N164" s="1080">
        <f t="shared" si="93"/>
        <v>0</v>
      </c>
    </row>
    <row r="165" spans="1:14" s="896" customFormat="1" ht="15" hidden="1" customHeight="1">
      <c r="A165" s="2622"/>
      <c r="B165" s="2605"/>
      <c r="C165" s="1110" t="s">
        <v>2648</v>
      </c>
      <c r="D165" s="1138">
        <f t="shared" si="89"/>
        <v>1</v>
      </c>
      <c r="E165" s="1113">
        <f>+E147</f>
        <v>0.01</v>
      </c>
      <c r="F165" s="911">
        <v>0</v>
      </c>
      <c r="G165" s="1080">
        <f t="shared" si="93"/>
        <v>0</v>
      </c>
      <c r="H165" s="1080">
        <f t="shared" si="93"/>
        <v>0</v>
      </c>
      <c r="I165" s="1080">
        <f t="shared" si="93"/>
        <v>0</v>
      </c>
      <c r="J165" s="1080">
        <f t="shared" si="93"/>
        <v>0</v>
      </c>
      <c r="K165" s="1080">
        <f t="shared" si="93"/>
        <v>0</v>
      </c>
      <c r="L165" s="1080">
        <f t="shared" si="93"/>
        <v>0</v>
      </c>
      <c r="M165" s="1080">
        <f t="shared" si="93"/>
        <v>0</v>
      </c>
      <c r="N165" s="1080">
        <f t="shared" si="93"/>
        <v>0</v>
      </c>
    </row>
    <row r="166" spans="1:14" s="896" customFormat="1" ht="15" hidden="1" customHeight="1">
      <c r="A166" s="2622"/>
      <c r="B166" s="2605"/>
      <c r="C166" s="1110" t="s">
        <v>2549</v>
      </c>
      <c r="D166" s="1138">
        <f t="shared" si="89"/>
        <v>1</v>
      </c>
      <c r="E166" s="1113">
        <f>+E148</f>
        <v>0.01</v>
      </c>
      <c r="F166" s="911">
        <v>0</v>
      </c>
      <c r="G166" s="1080">
        <f t="shared" si="93"/>
        <v>36220</v>
      </c>
      <c r="H166" s="1080">
        <f t="shared" si="93"/>
        <v>0</v>
      </c>
      <c r="I166" s="1080">
        <f t="shared" si="93"/>
        <v>20017</v>
      </c>
      <c r="J166" s="1080">
        <f t="shared" si="93"/>
        <v>0</v>
      </c>
      <c r="K166" s="1080">
        <f t="shared" si="93"/>
        <v>0</v>
      </c>
      <c r="L166" s="1080">
        <f t="shared" si="93"/>
        <v>0</v>
      </c>
      <c r="M166" s="1080">
        <f t="shared" si="93"/>
        <v>0</v>
      </c>
      <c r="N166" s="1080">
        <f t="shared" si="93"/>
        <v>0</v>
      </c>
    </row>
    <row r="167" spans="1:14" s="896" customFormat="1" ht="15" hidden="1" customHeight="1">
      <c r="A167" s="2622"/>
      <c r="B167" s="2605"/>
      <c r="C167" s="1110" t="s">
        <v>2649</v>
      </c>
      <c r="D167" s="1138"/>
      <c r="E167" s="1113"/>
      <c r="F167" s="911"/>
      <c r="G167" s="1080"/>
      <c r="H167" s="1080"/>
      <c r="I167" s="1080"/>
      <c r="J167" s="1080"/>
      <c r="K167" s="1080"/>
      <c r="L167" s="1080"/>
      <c r="M167" s="1080"/>
      <c r="N167" s="1080"/>
    </row>
    <row r="168" spans="1:14" s="896" customFormat="1" ht="15" hidden="1" customHeight="1">
      <c r="A168" s="2622"/>
      <c r="B168" s="2605"/>
      <c r="C168" s="1139" t="s">
        <v>2551</v>
      </c>
      <c r="D168" s="1138"/>
      <c r="E168" s="1113"/>
      <c r="F168" s="911"/>
      <c r="G168" s="1080"/>
      <c r="H168" s="1080"/>
      <c r="I168" s="1080"/>
      <c r="J168" s="1080"/>
      <c r="K168" s="1080"/>
      <c r="L168" s="1080"/>
      <c r="M168" s="1080"/>
      <c r="N168" s="1080"/>
    </row>
    <row r="169" spans="1:14" s="896" customFormat="1" ht="15" hidden="1" customHeight="1">
      <c r="A169" s="2622"/>
      <c r="B169" s="2605"/>
      <c r="C169" s="1110" t="s">
        <v>2552</v>
      </c>
      <c r="D169" s="1138">
        <f t="shared" ref="D169:E173" si="94">+D151</f>
        <v>1</v>
      </c>
      <c r="E169" s="1113">
        <f t="shared" si="94"/>
        <v>0.01</v>
      </c>
      <c r="F169" s="911">
        <v>0</v>
      </c>
      <c r="G169" s="1080">
        <f t="shared" si="93"/>
        <v>0</v>
      </c>
      <c r="H169" s="1080">
        <f t="shared" si="93"/>
        <v>0</v>
      </c>
      <c r="I169" s="1080">
        <f t="shared" si="93"/>
        <v>0</v>
      </c>
      <c r="J169" s="1080">
        <f t="shared" si="93"/>
        <v>0</v>
      </c>
      <c r="K169" s="1080">
        <f t="shared" si="93"/>
        <v>0</v>
      </c>
      <c r="L169" s="1080">
        <f t="shared" si="93"/>
        <v>0</v>
      </c>
      <c r="M169" s="1080">
        <f t="shared" si="93"/>
        <v>0</v>
      </c>
      <c r="N169" s="1080">
        <f t="shared" si="93"/>
        <v>0</v>
      </c>
    </row>
    <row r="170" spans="1:14" s="896" customFormat="1" ht="15" hidden="1" customHeight="1">
      <c r="A170" s="2622"/>
      <c r="B170" s="2605"/>
      <c r="C170" s="1114" t="s">
        <v>2650</v>
      </c>
      <c r="D170" s="1138">
        <f t="shared" si="94"/>
        <v>1</v>
      </c>
      <c r="E170" s="1113">
        <f t="shared" si="94"/>
        <v>0.01</v>
      </c>
      <c r="F170" s="911">
        <v>0</v>
      </c>
      <c r="G170" s="1080">
        <f t="shared" si="93"/>
        <v>0</v>
      </c>
      <c r="H170" s="1080">
        <f t="shared" si="93"/>
        <v>0</v>
      </c>
      <c r="I170" s="1080">
        <f t="shared" si="93"/>
        <v>0</v>
      </c>
      <c r="J170" s="1080">
        <f t="shared" si="93"/>
        <v>0</v>
      </c>
      <c r="K170" s="1080">
        <f t="shared" si="93"/>
        <v>0</v>
      </c>
      <c r="L170" s="1080">
        <f t="shared" si="93"/>
        <v>0</v>
      </c>
      <c r="M170" s="1080">
        <f t="shared" si="93"/>
        <v>0</v>
      </c>
      <c r="N170" s="1080">
        <f t="shared" si="93"/>
        <v>0</v>
      </c>
    </row>
    <row r="171" spans="1:14" s="896" customFormat="1" ht="15" hidden="1" customHeight="1">
      <c r="A171" s="2622"/>
      <c r="B171" s="2605"/>
      <c r="C171" s="1114" t="s">
        <v>2651</v>
      </c>
      <c r="D171" s="1138">
        <f t="shared" si="94"/>
        <v>1</v>
      </c>
      <c r="E171" s="1113">
        <f t="shared" si="94"/>
        <v>0.01</v>
      </c>
      <c r="F171" s="911">
        <v>0</v>
      </c>
      <c r="G171" s="1080">
        <f t="shared" si="93"/>
        <v>0</v>
      </c>
      <c r="H171" s="1080">
        <f t="shared" si="93"/>
        <v>0</v>
      </c>
      <c r="I171" s="1080">
        <f t="shared" si="93"/>
        <v>0</v>
      </c>
      <c r="J171" s="1080">
        <f t="shared" si="93"/>
        <v>0</v>
      </c>
      <c r="K171" s="1080">
        <f t="shared" si="93"/>
        <v>0</v>
      </c>
      <c r="L171" s="1080">
        <f t="shared" si="93"/>
        <v>0</v>
      </c>
      <c r="M171" s="1080">
        <f t="shared" si="93"/>
        <v>0</v>
      </c>
      <c r="N171" s="1080">
        <f t="shared" si="93"/>
        <v>0</v>
      </c>
    </row>
    <row r="172" spans="1:14" s="896" customFormat="1" ht="15" hidden="1" customHeight="1">
      <c r="A172" s="2622"/>
      <c r="B172" s="2606"/>
      <c r="C172" s="1110" t="s">
        <v>2555</v>
      </c>
      <c r="D172" s="1138">
        <f t="shared" si="94"/>
        <v>1</v>
      </c>
      <c r="E172" s="1113">
        <f t="shared" si="94"/>
        <v>0.01</v>
      </c>
      <c r="F172" s="911">
        <v>0</v>
      </c>
      <c r="G172" s="1080">
        <f t="shared" si="93"/>
        <v>0</v>
      </c>
      <c r="H172" s="1080">
        <f t="shared" si="93"/>
        <v>0</v>
      </c>
      <c r="I172" s="1080">
        <f t="shared" si="93"/>
        <v>0</v>
      </c>
      <c r="J172" s="1080">
        <f t="shared" si="93"/>
        <v>0</v>
      </c>
      <c r="K172" s="1080">
        <f t="shared" si="93"/>
        <v>0</v>
      </c>
      <c r="L172" s="1080">
        <f t="shared" si="93"/>
        <v>0</v>
      </c>
      <c r="M172" s="1080">
        <f t="shared" si="93"/>
        <v>0</v>
      </c>
      <c r="N172" s="1080">
        <f t="shared" si="93"/>
        <v>0</v>
      </c>
    </row>
    <row r="173" spans="1:14" s="896" customFormat="1" ht="15" hidden="1" customHeight="1" thickBot="1">
      <c r="A173" s="2626"/>
      <c r="B173" s="1140" t="s">
        <v>2644</v>
      </c>
      <c r="C173" s="1141" t="s">
        <v>2652</v>
      </c>
      <c r="D173" s="1142">
        <f t="shared" si="94"/>
        <v>1</v>
      </c>
      <c r="E173" s="1143">
        <f t="shared" si="94"/>
        <v>0</v>
      </c>
      <c r="F173" s="1144">
        <f>ROUNDDOWN(D173*E173*F155,0)</f>
        <v>0</v>
      </c>
      <c r="G173" s="1080">
        <f>ROUNDDOWN(G155*$E173*$D173,0)</f>
        <v>0</v>
      </c>
      <c r="H173" s="1080">
        <f>ROUNDDOWN(H155*$E173*$D173,0)</f>
        <v>0</v>
      </c>
      <c r="I173" s="1080">
        <f t="shared" si="93"/>
        <v>0</v>
      </c>
      <c r="J173" s="1080">
        <f t="shared" si="93"/>
        <v>0</v>
      </c>
      <c r="K173" s="1080">
        <f t="shared" si="93"/>
        <v>0</v>
      </c>
      <c r="L173" s="1080">
        <f t="shared" si="93"/>
        <v>0</v>
      </c>
      <c r="M173" s="1080">
        <f t="shared" si="93"/>
        <v>0</v>
      </c>
      <c r="N173" s="1080">
        <f t="shared" si="93"/>
        <v>0</v>
      </c>
    </row>
    <row r="174" spans="1:14" s="896" customFormat="1" ht="15" hidden="1" customHeight="1" thickTop="1">
      <c r="A174" s="1145"/>
      <c r="B174" s="1146"/>
      <c r="C174" s="1147" t="s">
        <v>2653</v>
      </c>
      <c r="D174" s="1148"/>
      <c r="E174" s="1149"/>
      <c r="F174" s="1150">
        <f>SUM(G174:N174)</f>
        <v>6075201</v>
      </c>
      <c r="G174" s="1151">
        <f>SUM(G161:G173)+G159</f>
        <v>1189666</v>
      </c>
      <c r="H174" s="1151">
        <f t="shared" ref="H174:N174" si="95">SUM(H161:H173)+H159</f>
        <v>764819</v>
      </c>
      <c r="I174" s="1151">
        <f t="shared" si="95"/>
        <v>4120716</v>
      </c>
      <c r="J174" s="1151">
        <f t="shared" si="95"/>
        <v>0</v>
      </c>
      <c r="K174" s="1151">
        <f>SUM(K161:K173)+K159</f>
        <v>0</v>
      </c>
      <c r="L174" s="1151">
        <f t="shared" si="95"/>
        <v>0</v>
      </c>
      <c r="M174" s="1151">
        <f t="shared" si="95"/>
        <v>0</v>
      </c>
      <c r="N174" s="1152">
        <f t="shared" si="95"/>
        <v>0</v>
      </c>
    </row>
    <row r="175" spans="1:14" s="896" customFormat="1" ht="15" customHeight="1">
      <c r="A175" s="1295"/>
      <c r="B175" s="1295"/>
      <c r="C175" s="924"/>
      <c r="D175" s="924"/>
      <c r="E175" s="1295"/>
      <c r="F175" s="1153"/>
      <c r="G175" s="915"/>
      <c r="H175" s="915"/>
      <c r="I175" s="915"/>
      <c r="J175" s="915"/>
      <c r="K175" s="915"/>
      <c r="L175" s="915"/>
      <c r="M175" s="915"/>
      <c r="N175" s="915"/>
    </row>
    <row r="176" spans="1:14" s="896" customFormat="1" ht="15" customHeight="1">
      <c r="A176" s="1295"/>
      <c r="B176" s="1295"/>
      <c r="C176" s="1099" t="s">
        <v>2654</v>
      </c>
      <c r="D176" s="1099"/>
      <c r="E176" s="923"/>
      <c r="F176" s="1042"/>
      <c r="G176" s="1046"/>
      <c r="H176" s="1046"/>
      <c r="I176" s="1046"/>
      <c r="J176" s="1046"/>
      <c r="K176" s="1046"/>
      <c r="L176" s="1046"/>
      <c r="M176" s="1046"/>
      <c r="N176" s="1100" t="s">
        <v>2655</v>
      </c>
    </row>
    <row r="177" spans="1:14" s="896" customFormat="1" ht="15" customHeight="1">
      <c r="A177" s="1295"/>
      <c r="B177" s="1295"/>
      <c r="C177" s="930" t="s">
        <v>2656</v>
      </c>
      <c r="D177" s="930"/>
      <c r="E177" s="923"/>
      <c r="F177" s="1042"/>
      <c r="G177" s="1046"/>
      <c r="H177" s="1046"/>
      <c r="I177" s="1046"/>
      <c r="J177" s="1046"/>
      <c r="K177" s="1046"/>
      <c r="L177" s="1046"/>
      <c r="M177" s="1046"/>
      <c r="N177" s="1100"/>
    </row>
    <row r="178" spans="1:14" s="896" customFormat="1" ht="15" customHeight="1">
      <c r="A178" s="877"/>
      <c r="B178" s="878"/>
      <c r="C178" s="878"/>
      <c r="D178" s="2616" t="s">
        <v>2635</v>
      </c>
      <c r="E178" s="2616" t="s">
        <v>2636</v>
      </c>
      <c r="F178" s="1092" t="s">
        <v>2517</v>
      </c>
      <c r="G178" s="1093" t="str">
        <f t="shared" ref="G178:N178" si="96">+G86</f>
        <v>工事6</v>
      </c>
      <c r="H178" s="1093" t="str">
        <f t="shared" si="96"/>
        <v>工事7</v>
      </c>
      <c r="I178" s="1093" t="str">
        <f t="shared" si="96"/>
        <v>工事8</v>
      </c>
      <c r="J178" s="1093">
        <f t="shared" si="96"/>
        <v>0</v>
      </c>
      <c r="K178" s="1093">
        <f t="shared" si="96"/>
        <v>0</v>
      </c>
      <c r="L178" s="1093">
        <f t="shared" si="96"/>
        <v>0</v>
      </c>
      <c r="M178" s="1093">
        <f t="shared" si="96"/>
        <v>0</v>
      </c>
      <c r="N178" s="1094">
        <f t="shared" si="96"/>
        <v>0</v>
      </c>
    </row>
    <row r="179" spans="1:14" s="896" customFormat="1" ht="15" customHeight="1">
      <c r="A179" s="2618" t="s">
        <v>2657</v>
      </c>
      <c r="B179" s="2619"/>
      <c r="C179" s="2620"/>
      <c r="D179" s="2617"/>
      <c r="E179" s="2617"/>
      <c r="F179" s="1101"/>
      <c r="G179" s="1102"/>
      <c r="H179" s="1102"/>
      <c r="I179" s="1102"/>
      <c r="J179" s="1102"/>
      <c r="K179" s="1102"/>
      <c r="L179" s="1102"/>
      <c r="M179" s="1102"/>
      <c r="N179" s="1103"/>
    </row>
    <row r="180" spans="1:14" s="896" customFormat="1" ht="15" customHeight="1">
      <c r="A180" s="2621"/>
      <c r="B180" s="1104" t="s">
        <v>2658</v>
      </c>
      <c r="C180" s="1105"/>
      <c r="D180" s="1106"/>
      <c r="E180" s="1107"/>
      <c r="F180" s="1108">
        <f t="shared" ref="F180:F187" si="97">SUM(G180:N180)</f>
        <v>212174150</v>
      </c>
      <c r="G180" s="1109">
        <f>+G91-G135-G134-G130-G131</f>
        <v>44699898</v>
      </c>
      <c r="H180" s="1109">
        <f t="shared" ref="H180:N180" si="98">+H91-H135-H134-H130-H131</f>
        <v>28900276</v>
      </c>
      <c r="I180" s="1109">
        <f t="shared" si="98"/>
        <v>138573976</v>
      </c>
      <c r="J180" s="1109">
        <f t="shared" si="98"/>
        <v>0</v>
      </c>
      <c r="K180" s="1109">
        <f>+K91-K135-K134-K130-K131</f>
        <v>0</v>
      </c>
      <c r="L180" s="1109">
        <f t="shared" si="98"/>
        <v>0</v>
      </c>
      <c r="M180" s="1109">
        <f t="shared" si="98"/>
        <v>0</v>
      </c>
      <c r="N180" s="1122">
        <f t="shared" si="98"/>
        <v>0</v>
      </c>
    </row>
    <row r="181" spans="1:14" s="896" customFormat="1" ht="15" customHeight="1">
      <c r="A181" s="2622"/>
      <c r="B181" s="2607" t="s">
        <v>2541</v>
      </c>
      <c r="C181" s="1110" t="s">
        <v>2542</v>
      </c>
      <c r="D181" s="1111">
        <v>1</v>
      </c>
      <c r="E181" s="1112" t="s">
        <v>2639</v>
      </c>
      <c r="F181" s="911">
        <f t="shared" si="97"/>
        <v>0</v>
      </c>
      <c r="G181" s="912">
        <f>IF(G117&gt;=G118,+G117+G159+G98-G99-G100-G135,G117+G159)</f>
        <v>0</v>
      </c>
      <c r="H181" s="912">
        <f t="shared" ref="H181:N181" si="99">IF(H117&gt;=H118,+H117+H159+H98-H99-H100-H135,H117+H159)</f>
        <v>0</v>
      </c>
      <c r="I181" s="912">
        <f t="shared" si="99"/>
        <v>0</v>
      </c>
      <c r="J181" s="912">
        <f t="shared" si="99"/>
        <v>0</v>
      </c>
      <c r="K181" s="912">
        <f t="shared" si="99"/>
        <v>0</v>
      </c>
      <c r="L181" s="912">
        <f t="shared" si="99"/>
        <v>0</v>
      </c>
      <c r="M181" s="912">
        <f t="shared" si="99"/>
        <v>0</v>
      </c>
      <c r="N181" s="913">
        <f t="shared" si="99"/>
        <v>0</v>
      </c>
    </row>
    <row r="182" spans="1:14" s="896" customFormat="1" ht="15" customHeight="1">
      <c r="A182" s="2622"/>
      <c r="B182" s="2605"/>
      <c r="C182" s="1110" t="s">
        <v>2543</v>
      </c>
      <c r="D182" s="1111">
        <v>1</v>
      </c>
      <c r="E182" s="1112" t="s">
        <v>2639</v>
      </c>
      <c r="F182" s="911">
        <f t="shared" si="97"/>
        <v>206494213</v>
      </c>
      <c r="G182" s="912">
        <f>IF(G117&gt;=G118,+G118+G161,G118+G161+G98-G99-G100-G135)</f>
        <v>41041678</v>
      </c>
      <c r="H182" s="912">
        <f t="shared" ref="H182:N182" si="100">IF(H117&gt;=H118,+H118+H161,H118+H161+H98-H99-H100-H135)</f>
        <v>28900276</v>
      </c>
      <c r="I182" s="912">
        <f t="shared" si="100"/>
        <v>136552259</v>
      </c>
      <c r="J182" s="912">
        <f t="shared" si="100"/>
        <v>0</v>
      </c>
      <c r="K182" s="912">
        <f t="shared" si="100"/>
        <v>0</v>
      </c>
      <c r="L182" s="912">
        <f t="shared" si="100"/>
        <v>0</v>
      </c>
      <c r="M182" s="912">
        <f t="shared" si="100"/>
        <v>0</v>
      </c>
      <c r="N182" s="913">
        <f t="shared" si="100"/>
        <v>0</v>
      </c>
    </row>
    <row r="183" spans="1:14" s="896" customFormat="1" ht="15" customHeight="1">
      <c r="A183" s="2622"/>
      <c r="B183" s="2605"/>
      <c r="C183" s="1110" t="s">
        <v>2640</v>
      </c>
      <c r="D183" s="1111">
        <v>1</v>
      </c>
      <c r="E183" s="1112" t="s">
        <v>2639</v>
      </c>
      <c r="F183" s="911">
        <f t="shared" si="97"/>
        <v>0</v>
      </c>
      <c r="G183" s="912">
        <f>+G119+G162</f>
        <v>0</v>
      </c>
      <c r="H183" s="912">
        <f t="shared" ref="H183:N187" si="101">+H119+H162</f>
        <v>0</v>
      </c>
      <c r="I183" s="912">
        <f t="shared" si="101"/>
        <v>0</v>
      </c>
      <c r="J183" s="912">
        <f t="shared" si="101"/>
        <v>0</v>
      </c>
      <c r="K183" s="912">
        <f t="shared" si="101"/>
        <v>0</v>
      </c>
      <c r="L183" s="912">
        <f t="shared" si="101"/>
        <v>0</v>
      </c>
      <c r="M183" s="912">
        <f t="shared" si="101"/>
        <v>0</v>
      </c>
      <c r="N183" s="913">
        <f t="shared" si="101"/>
        <v>0</v>
      </c>
    </row>
    <row r="184" spans="1:14" s="896" customFormat="1" ht="15" customHeight="1">
      <c r="A184" s="2622"/>
      <c r="B184" s="2606"/>
      <c r="C184" s="1110" t="s">
        <v>2641</v>
      </c>
      <c r="D184" s="1111">
        <v>1</v>
      </c>
      <c r="E184" s="1112" t="s">
        <v>2639</v>
      </c>
      <c r="F184" s="911">
        <f t="shared" si="97"/>
        <v>0</v>
      </c>
      <c r="G184" s="912">
        <f>+G120+G163</f>
        <v>0</v>
      </c>
      <c r="H184" s="912">
        <f t="shared" si="101"/>
        <v>0</v>
      </c>
      <c r="I184" s="912">
        <f t="shared" si="101"/>
        <v>0</v>
      </c>
      <c r="J184" s="912">
        <f t="shared" si="101"/>
        <v>0</v>
      </c>
      <c r="K184" s="912">
        <f t="shared" si="101"/>
        <v>0</v>
      </c>
      <c r="L184" s="912">
        <f t="shared" si="101"/>
        <v>0</v>
      </c>
      <c r="M184" s="912">
        <f t="shared" si="101"/>
        <v>0</v>
      </c>
      <c r="N184" s="913">
        <f t="shared" si="101"/>
        <v>0</v>
      </c>
    </row>
    <row r="185" spans="1:14" s="896" customFormat="1" ht="15" customHeight="1">
      <c r="A185" s="2622"/>
      <c r="B185" s="2607" t="s">
        <v>2546</v>
      </c>
      <c r="C185" s="1110" t="s">
        <v>2642</v>
      </c>
      <c r="D185" s="1111">
        <v>1</v>
      </c>
      <c r="E185" s="1113">
        <v>0.02</v>
      </c>
      <c r="F185" s="911">
        <f t="shared" si="97"/>
        <v>0</v>
      </c>
      <c r="G185" s="912">
        <f>+G121+G164</f>
        <v>0</v>
      </c>
      <c r="H185" s="912">
        <f t="shared" si="101"/>
        <v>0</v>
      </c>
      <c r="I185" s="912">
        <f t="shared" si="101"/>
        <v>0</v>
      </c>
      <c r="J185" s="912">
        <f t="shared" si="101"/>
        <v>0</v>
      </c>
      <c r="K185" s="912">
        <f t="shared" si="101"/>
        <v>0</v>
      </c>
      <c r="L185" s="912">
        <f t="shared" si="101"/>
        <v>0</v>
      </c>
      <c r="M185" s="912">
        <f t="shared" si="101"/>
        <v>0</v>
      </c>
      <c r="N185" s="913">
        <f t="shared" si="101"/>
        <v>0</v>
      </c>
    </row>
    <row r="186" spans="1:14" s="896" customFormat="1" ht="15" customHeight="1">
      <c r="A186" s="2622"/>
      <c r="B186" s="2605"/>
      <c r="C186" s="1110" t="s">
        <v>2643</v>
      </c>
      <c r="D186" s="1111">
        <v>1</v>
      </c>
      <c r="E186" s="1113">
        <v>0.02</v>
      </c>
      <c r="F186" s="911">
        <f t="shared" si="97"/>
        <v>0</v>
      </c>
      <c r="G186" s="912">
        <f>+G122+G165</f>
        <v>0</v>
      </c>
      <c r="H186" s="912">
        <f t="shared" si="101"/>
        <v>0</v>
      </c>
      <c r="I186" s="912">
        <f t="shared" si="101"/>
        <v>0</v>
      </c>
      <c r="J186" s="912">
        <f t="shared" si="101"/>
        <v>0</v>
      </c>
      <c r="K186" s="912">
        <f t="shared" si="101"/>
        <v>0</v>
      </c>
      <c r="L186" s="912">
        <f t="shared" si="101"/>
        <v>0</v>
      </c>
      <c r="M186" s="912">
        <f t="shared" si="101"/>
        <v>0</v>
      </c>
      <c r="N186" s="913">
        <f t="shared" si="101"/>
        <v>0</v>
      </c>
    </row>
    <row r="187" spans="1:14" s="896" customFormat="1" ht="15" customHeight="1">
      <c r="A187" s="2622"/>
      <c r="B187" s="2605"/>
      <c r="C187" s="1110" t="s">
        <v>2549</v>
      </c>
      <c r="D187" s="1111">
        <v>1</v>
      </c>
      <c r="E187" s="1113">
        <v>0.02</v>
      </c>
      <c r="F187" s="911">
        <f t="shared" si="97"/>
        <v>5679937</v>
      </c>
      <c r="G187" s="912">
        <f>+G123+G166</f>
        <v>3658220</v>
      </c>
      <c r="H187" s="912">
        <f t="shared" si="101"/>
        <v>0</v>
      </c>
      <c r="I187" s="912">
        <f t="shared" si="101"/>
        <v>2021717</v>
      </c>
      <c r="J187" s="912">
        <f t="shared" si="101"/>
        <v>0</v>
      </c>
      <c r="K187" s="912">
        <f t="shared" si="101"/>
        <v>0</v>
      </c>
      <c r="L187" s="912">
        <f t="shared" si="101"/>
        <v>0</v>
      </c>
      <c r="M187" s="912">
        <f t="shared" si="101"/>
        <v>0</v>
      </c>
      <c r="N187" s="913">
        <f t="shared" si="101"/>
        <v>0</v>
      </c>
    </row>
    <row r="188" spans="1:14" s="896" customFormat="1" ht="15" customHeight="1">
      <c r="A188" s="2622"/>
      <c r="B188" s="2605"/>
      <c r="C188" s="1110" t="s">
        <v>2629</v>
      </c>
      <c r="D188" s="1111"/>
      <c r="E188" s="1113"/>
      <c r="F188" s="911"/>
      <c r="G188" s="912"/>
      <c r="H188" s="912"/>
      <c r="I188" s="912"/>
      <c r="J188" s="912"/>
      <c r="K188" s="912"/>
      <c r="L188" s="912"/>
      <c r="M188" s="912"/>
      <c r="N188" s="913"/>
    </row>
    <row r="189" spans="1:14" s="896" customFormat="1" ht="15" customHeight="1">
      <c r="A189" s="2622"/>
      <c r="B189" s="2605"/>
      <c r="C189" s="1110" t="s">
        <v>2551</v>
      </c>
      <c r="D189" s="1111"/>
      <c r="E189" s="1113"/>
      <c r="F189" s="911"/>
      <c r="G189" s="912"/>
      <c r="H189" s="912"/>
      <c r="I189" s="912"/>
      <c r="J189" s="912"/>
      <c r="K189" s="912"/>
      <c r="L189" s="912"/>
      <c r="M189" s="912"/>
      <c r="N189" s="913"/>
    </row>
    <row r="190" spans="1:14" s="896" customFormat="1" ht="15" customHeight="1">
      <c r="A190" s="2622"/>
      <c r="B190" s="2605"/>
      <c r="C190" s="1110" t="s">
        <v>2552</v>
      </c>
      <c r="D190" s="1111">
        <v>1</v>
      </c>
      <c r="E190" s="1113">
        <v>0.02</v>
      </c>
      <c r="F190" s="911">
        <f>SUM(G190:N190)</f>
        <v>0</v>
      </c>
      <c r="G190" s="912">
        <f t="shared" ref="G190:N193" si="102">+G126+G169</f>
        <v>0</v>
      </c>
      <c r="H190" s="912">
        <f t="shared" si="102"/>
        <v>0</v>
      </c>
      <c r="I190" s="912">
        <f t="shared" si="102"/>
        <v>0</v>
      </c>
      <c r="J190" s="912">
        <f t="shared" si="102"/>
        <v>0</v>
      </c>
      <c r="K190" s="912">
        <f t="shared" si="102"/>
        <v>0</v>
      </c>
      <c r="L190" s="912">
        <f t="shared" si="102"/>
        <v>0</v>
      </c>
      <c r="M190" s="912">
        <f t="shared" si="102"/>
        <v>0</v>
      </c>
      <c r="N190" s="913">
        <f t="shared" si="102"/>
        <v>0</v>
      </c>
    </row>
    <row r="191" spans="1:14" s="896" customFormat="1" ht="15" customHeight="1">
      <c r="A191" s="2622"/>
      <c r="B191" s="2605"/>
      <c r="C191" s="1114" t="s">
        <v>2553</v>
      </c>
      <c r="D191" s="1111">
        <v>1</v>
      </c>
      <c r="E191" s="1113">
        <v>0.02</v>
      </c>
      <c r="F191" s="911">
        <f>SUM(G191:N191)</f>
        <v>0</v>
      </c>
      <c r="G191" s="912">
        <f t="shared" si="102"/>
        <v>0</v>
      </c>
      <c r="H191" s="912">
        <f t="shared" si="102"/>
        <v>0</v>
      </c>
      <c r="I191" s="912">
        <f t="shared" si="102"/>
        <v>0</v>
      </c>
      <c r="J191" s="912">
        <f t="shared" si="102"/>
        <v>0</v>
      </c>
      <c r="K191" s="912">
        <f t="shared" si="102"/>
        <v>0</v>
      </c>
      <c r="L191" s="912">
        <f t="shared" si="102"/>
        <v>0</v>
      </c>
      <c r="M191" s="912">
        <f t="shared" si="102"/>
        <v>0</v>
      </c>
      <c r="N191" s="913">
        <f t="shared" si="102"/>
        <v>0</v>
      </c>
    </row>
    <row r="192" spans="1:14" s="896" customFormat="1" ht="14.25" customHeight="1">
      <c r="A192" s="2622"/>
      <c r="B192" s="2605"/>
      <c r="C192" s="1114" t="s">
        <v>2631</v>
      </c>
      <c r="D192" s="1111">
        <v>1</v>
      </c>
      <c r="E192" s="1113">
        <v>0.02</v>
      </c>
      <c r="F192" s="911">
        <f>SUM(G192:N192)</f>
        <v>0</v>
      </c>
      <c r="G192" s="912">
        <f t="shared" si="102"/>
        <v>0</v>
      </c>
      <c r="H192" s="912">
        <f t="shared" si="102"/>
        <v>0</v>
      </c>
      <c r="I192" s="912">
        <f t="shared" si="102"/>
        <v>0</v>
      </c>
      <c r="J192" s="912">
        <f t="shared" si="102"/>
        <v>0</v>
      </c>
      <c r="K192" s="912">
        <f t="shared" si="102"/>
        <v>0</v>
      </c>
      <c r="L192" s="912">
        <f t="shared" si="102"/>
        <v>0</v>
      </c>
      <c r="M192" s="912">
        <f t="shared" si="102"/>
        <v>0</v>
      </c>
      <c r="N192" s="913">
        <f t="shared" si="102"/>
        <v>0</v>
      </c>
    </row>
    <row r="193" spans="1:14" s="896" customFormat="1" ht="14.25" customHeight="1">
      <c r="A193" s="2622"/>
      <c r="B193" s="2606"/>
      <c r="C193" s="1110" t="s">
        <v>2555</v>
      </c>
      <c r="D193" s="1111">
        <v>1</v>
      </c>
      <c r="E193" s="1113">
        <v>0.02</v>
      </c>
      <c r="F193" s="911">
        <f>SUM(G193:N193)</f>
        <v>0</v>
      </c>
      <c r="G193" s="912">
        <f t="shared" si="102"/>
        <v>0</v>
      </c>
      <c r="H193" s="912">
        <f t="shared" si="102"/>
        <v>0</v>
      </c>
      <c r="I193" s="912">
        <f t="shared" si="102"/>
        <v>0</v>
      </c>
      <c r="J193" s="912">
        <f t="shared" si="102"/>
        <v>0</v>
      </c>
      <c r="K193" s="912">
        <f t="shared" si="102"/>
        <v>0</v>
      </c>
      <c r="L193" s="912">
        <f t="shared" si="102"/>
        <v>0</v>
      </c>
      <c r="M193" s="912">
        <f t="shared" si="102"/>
        <v>0</v>
      </c>
      <c r="N193" s="913">
        <f t="shared" si="102"/>
        <v>0</v>
      </c>
    </row>
    <row r="194" spans="1:14" s="896" customFormat="1" ht="14.25" customHeight="1">
      <c r="A194" s="2623"/>
      <c r="B194" s="1115" t="s">
        <v>2644</v>
      </c>
      <c r="C194" s="1154" t="s">
        <v>2659</v>
      </c>
      <c r="D194" s="1117">
        <v>1</v>
      </c>
      <c r="E194" s="1118">
        <v>0</v>
      </c>
      <c r="F194" s="946">
        <f>SUM(G194:N194)</f>
        <v>602934</v>
      </c>
      <c r="G194" s="1073">
        <f>SUM(G130:G136)</f>
        <v>96063</v>
      </c>
      <c r="H194" s="1073">
        <f t="shared" ref="H194:N194" si="103">SUM(H130:H136)</f>
        <v>13658</v>
      </c>
      <c r="I194" s="1073">
        <f t="shared" si="103"/>
        <v>493213</v>
      </c>
      <c r="J194" s="1073">
        <f t="shared" si="103"/>
        <v>0</v>
      </c>
      <c r="K194" s="1073">
        <f>SUM(K130:K136)</f>
        <v>0</v>
      </c>
      <c r="L194" s="1073">
        <f t="shared" si="103"/>
        <v>0</v>
      </c>
      <c r="M194" s="1073">
        <f t="shared" si="103"/>
        <v>0</v>
      </c>
      <c r="N194" s="1074">
        <f t="shared" si="103"/>
        <v>0</v>
      </c>
    </row>
    <row r="195" spans="1:14" s="896" customFormat="1" ht="14.25" customHeight="1">
      <c r="A195" s="1119"/>
      <c r="B195" s="1120"/>
      <c r="C195" s="1121"/>
      <c r="D195" s="2624"/>
      <c r="E195" s="2624"/>
      <c r="F195" s="1108"/>
      <c r="G195" s="1109"/>
      <c r="H195" s="1109"/>
      <c r="I195" s="1109"/>
      <c r="J195" s="1109"/>
      <c r="K195" s="1109"/>
      <c r="L195" s="1109"/>
      <c r="M195" s="1109"/>
      <c r="N195" s="1122"/>
    </row>
    <row r="196" spans="1:14" s="896" customFormat="1" ht="14.25" customHeight="1">
      <c r="A196" s="2618" t="s">
        <v>2660</v>
      </c>
      <c r="B196" s="2619"/>
      <c r="C196" s="2620"/>
      <c r="D196" s="2625"/>
      <c r="E196" s="2625"/>
      <c r="F196" s="1101"/>
      <c r="G196" s="1102"/>
      <c r="H196" s="1102"/>
      <c r="I196" s="1102"/>
      <c r="J196" s="1102"/>
      <c r="K196" s="1102"/>
      <c r="L196" s="1102"/>
      <c r="M196" s="1102"/>
      <c r="N196" s="1103"/>
    </row>
    <row r="197" spans="1:14" s="896" customFormat="1" ht="14.25" customHeight="1">
      <c r="A197" s="2621"/>
      <c r="B197" s="2604" t="s">
        <v>2541</v>
      </c>
      <c r="C197" s="1123" t="s">
        <v>2542</v>
      </c>
      <c r="D197" s="1124"/>
      <c r="E197" s="1125" t="s">
        <v>2639</v>
      </c>
      <c r="F197" s="1126" t="s">
        <v>2647</v>
      </c>
      <c r="G197" s="1127">
        <f>IF(G181=0,0,+G282/100)</f>
        <v>0</v>
      </c>
      <c r="H197" s="1127">
        <f t="shared" ref="H197:N197" si="104">IF(H181=0,0,+H282/100)</f>
        <v>0</v>
      </c>
      <c r="I197" s="1127">
        <f t="shared" si="104"/>
        <v>0</v>
      </c>
      <c r="J197" s="1127">
        <f t="shared" si="104"/>
        <v>0</v>
      </c>
      <c r="K197" s="1127">
        <f>IF(K181=0,0,+K282/100)</f>
        <v>0</v>
      </c>
      <c r="L197" s="1127">
        <f t="shared" si="104"/>
        <v>0</v>
      </c>
      <c r="M197" s="1127">
        <f t="shared" si="104"/>
        <v>0</v>
      </c>
      <c r="N197" s="1128">
        <f t="shared" si="104"/>
        <v>0</v>
      </c>
    </row>
    <row r="198" spans="1:14" s="896" customFormat="1" ht="14.25" customHeight="1">
      <c r="A198" s="2622"/>
      <c r="B198" s="2605"/>
      <c r="C198" s="1129"/>
      <c r="D198" s="1130">
        <f>+D181</f>
        <v>1</v>
      </c>
      <c r="E198" s="1131" t="s">
        <v>2639</v>
      </c>
      <c r="F198" s="1064">
        <f>SUM(G198:N198)</f>
        <v>0</v>
      </c>
      <c r="G198" s="1080">
        <f>ROUNDDOWN(G181*G197*$D198,0)</f>
        <v>0</v>
      </c>
      <c r="H198" s="1080">
        <f t="shared" ref="H198:N198" si="105">ROUNDDOWN(H181*H197*$D198,0)</f>
        <v>0</v>
      </c>
      <c r="I198" s="1080">
        <f t="shared" si="105"/>
        <v>0</v>
      </c>
      <c r="J198" s="1080">
        <f t="shared" si="105"/>
        <v>0</v>
      </c>
      <c r="K198" s="1080">
        <f>ROUNDDOWN(K181*K197*$D198,0)</f>
        <v>0</v>
      </c>
      <c r="L198" s="1080">
        <f t="shared" si="105"/>
        <v>0</v>
      </c>
      <c r="M198" s="1080">
        <f t="shared" si="105"/>
        <v>0</v>
      </c>
      <c r="N198" s="1081">
        <f t="shared" si="105"/>
        <v>0</v>
      </c>
    </row>
    <row r="199" spans="1:14" s="896" customFormat="1" ht="14.25" customHeight="1">
      <c r="A199" s="2622"/>
      <c r="B199" s="2605"/>
      <c r="C199" s="1132" t="s">
        <v>2543</v>
      </c>
      <c r="D199" s="1133"/>
      <c r="E199" s="1131" t="s">
        <v>2639</v>
      </c>
      <c r="F199" s="1134" t="s">
        <v>2647</v>
      </c>
      <c r="G199" s="1155">
        <f>IF(G182=0,0,+G290/100)</f>
        <v>0.115</v>
      </c>
      <c r="H199" s="1135">
        <f t="shared" ref="H199:N199" si="106">IF(H182=0,0,+H290/100)</f>
        <v>9.4700000000000006E-2</v>
      </c>
      <c r="I199" s="1135">
        <f t="shared" si="106"/>
        <v>0.115</v>
      </c>
      <c r="J199" s="1135">
        <f t="shared" si="106"/>
        <v>0</v>
      </c>
      <c r="K199" s="1135">
        <f>IF(K182=0,0,+K290/100)</f>
        <v>0</v>
      </c>
      <c r="L199" s="1135">
        <f t="shared" si="106"/>
        <v>0</v>
      </c>
      <c r="M199" s="1135">
        <f t="shared" si="106"/>
        <v>0</v>
      </c>
      <c r="N199" s="1136">
        <f t="shared" si="106"/>
        <v>0</v>
      </c>
    </row>
    <row r="200" spans="1:14" s="896" customFormat="1" ht="14.25" customHeight="1">
      <c r="A200" s="2622"/>
      <c r="B200" s="2605"/>
      <c r="C200" s="1129"/>
      <c r="D200" s="1137">
        <f t="shared" ref="D200:D205" si="107">+D182</f>
        <v>1</v>
      </c>
      <c r="E200" s="1131" t="s">
        <v>2639</v>
      </c>
      <c r="F200" s="1064">
        <f t="shared" ref="F200:F205" si="108">SUM(G200:N200)</f>
        <v>23160157</v>
      </c>
      <c r="G200" s="1080">
        <f>ROUNDDOWN(G182*G199*$D200,0)</f>
        <v>4719792</v>
      </c>
      <c r="H200" s="1080">
        <f t="shared" ref="H200:N200" si="109">ROUNDDOWN(H182*H199*$D200,0)</f>
        <v>2736856</v>
      </c>
      <c r="I200" s="1080">
        <f t="shared" si="109"/>
        <v>15703509</v>
      </c>
      <c r="J200" s="1080">
        <f t="shared" si="109"/>
        <v>0</v>
      </c>
      <c r="K200" s="1080">
        <f>ROUNDDOWN(K182*K199*$D200,0)</f>
        <v>0</v>
      </c>
      <c r="L200" s="1080">
        <f t="shared" si="109"/>
        <v>0</v>
      </c>
      <c r="M200" s="1080">
        <f t="shared" si="109"/>
        <v>0</v>
      </c>
      <c r="N200" s="1081">
        <f t="shared" si="109"/>
        <v>0</v>
      </c>
    </row>
    <row r="201" spans="1:14" s="896" customFormat="1" ht="14.25" customHeight="1">
      <c r="A201" s="2622"/>
      <c r="B201" s="2605"/>
      <c r="C201" s="1110" t="s">
        <v>2565</v>
      </c>
      <c r="D201" s="1138">
        <f t="shared" si="107"/>
        <v>1</v>
      </c>
      <c r="E201" s="1131" t="s">
        <v>2639</v>
      </c>
      <c r="F201" s="1064">
        <f t="shared" si="108"/>
        <v>0</v>
      </c>
      <c r="G201" s="1080">
        <f t="shared" ref="G201:N201" si="110">ROUNDDOWN(G183*G197*$D201,0)</f>
        <v>0</v>
      </c>
      <c r="H201" s="1080">
        <f t="shared" si="110"/>
        <v>0</v>
      </c>
      <c r="I201" s="1080">
        <f t="shared" si="110"/>
        <v>0</v>
      </c>
      <c r="J201" s="1080">
        <f t="shared" si="110"/>
        <v>0</v>
      </c>
      <c r="K201" s="1080">
        <f>ROUNDDOWN(K183*K197*$D201,0)</f>
        <v>0</v>
      </c>
      <c r="L201" s="1080">
        <f t="shared" si="110"/>
        <v>0</v>
      </c>
      <c r="M201" s="1080">
        <f t="shared" si="110"/>
        <v>0</v>
      </c>
      <c r="N201" s="1081">
        <f t="shared" si="110"/>
        <v>0</v>
      </c>
    </row>
    <row r="202" spans="1:14" s="896" customFormat="1" ht="14.25" customHeight="1">
      <c r="A202" s="2622"/>
      <c r="B202" s="2606"/>
      <c r="C202" s="1110" t="s">
        <v>2566</v>
      </c>
      <c r="D202" s="1138">
        <f t="shared" si="107"/>
        <v>1</v>
      </c>
      <c r="E202" s="1131" t="s">
        <v>2639</v>
      </c>
      <c r="F202" s="1064">
        <f t="shared" si="108"/>
        <v>0</v>
      </c>
      <c r="G202" s="1080">
        <f>ROUNDDOWN(G184*G199*$D202,0)</f>
        <v>0</v>
      </c>
      <c r="H202" s="1080">
        <f t="shared" ref="H202:N202" si="111">ROUNDDOWN(H184*H199*$D202,0)</f>
        <v>0</v>
      </c>
      <c r="I202" s="1080">
        <f t="shared" si="111"/>
        <v>0</v>
      </c>
      <c r="J202" s="1080">
        <f t="shared" si="111"/>
        <v>0</v>
      </c>
      <c r="K202" s="1080">
        <f>ROUNDDOWN(K184*K199*$D202,0)</f>
        <v>0</v>
      </c>
      <c r="L202" s="1080">
        <f t="shared" si="111"/>
        <v>0</v>
      </c>
      <c r="M202" s="1080">
        <f t="shared" si="111"/>
        <v>0</v>
      </c>
      <c r="N202" s="1081">
        <f t="shared" si="111"/>
        <v>0</v>
      </c>
    </row>
    <row r="203" spans="1:14" s="896" customFormat="1" ht="14.25" customHeight="1">
      <c r="A203" s="2622"/>
      <c r="B203" s="2607" t="s">
        <v>2546</v>
      </c>
      <c r="C203" s="1110" t="s">
        <v>2642</v>
      </c>
      <c r="D203" s="1138">
        <f t="shared" si="107"/>
        <v>1</v>
      </c>
      <c r="E203" s="1113">
        <f>+E185</f>
        <v>0.02</v>
      </c>
      <c r="F203" s="1064">
        <f t="shared" si="108"/>
        <v>0</v>
      </c>
      <c r="G203" s="1080">
        <f t="shared" ref="G203:N205" si="112">ROUNDDOWN(G185*$E203*$D203,0)</f>
        <v>0</v>
      </c>
      <c r="H203" s="1080">
        <f t="shared" si="112"/>
        <v>0</v>
      </c>
      <c r="I203" s="1080">
        <f t="shared" si="112"/>
        <v>0</v>
      </c>
      <c r="J203" s="1080">
        <f t="shared" si="112"/>
        <v>0</v>
      </c>
      <c r="K203" s="1080">
        <f t="shared" si="112"/>
        <v>0</v>
      </c>
      <c r="L203" s="1080">
        <f t="shared" si="112"/>
        <v>0</v>
      </c>
      <c r="M203" s="1080">
        <f t="shared" si="112"/>
        <v>0</v>
      </c>
      <c r="N203" s="1081">
        <f t="shared" si="112"/>
        <v>0</v>
      </c>
    </row>
    <row r="204" spans="1:14" s="896" customFormat="1" ht="14.25" customHeight="1">
      <c r="A204" s="2622"/>
      <c r="B204" s="2605"/>
      <c r="C204" s="1110" t="s">
        <v>2648</v>
      </c>
      <c r="D204" s="1138">
        <f t="shared" si="107"/>
        <v>1</v>
      </c>
      <c r="E204" s="1113">
        <f>+E186</f>
        <v>0.02</v>
      </c>
      <c r="F204" s="1064">
        <f t="shared" si="108"/>
        <v>0</v>
      </c>
      <c r="G204" s="1080">
        <f t="shared" si="112"/>
        <v>0</v>
      </c>
      <c r="H204" s="1080">
        <f t="shared" si="112"/>
        <v>0</v>
      </c>
      <c r="I204" s="1080">
        <f t="shared" si="112"/>
        <v>0</v>
      </c>
      <c r="J204" s="1080">
        <f t="shared" si="112"/>
        <v>0</v>
      </c>
      <c r="K204" s="1080">
        <f>ROUNDDOWN(K186*$E204*$D204,0)</f>
        <v>0</v>
      </c>
      <c r="L204" s="1080">
        <f t="shared" si="112"/>
        <v>0</v>
      </c>
      <c r="M204" s="1080">
        <f t="shared" si="112"/>
        <v>0</v>
      </c>
      <c r="N204" s="1081">
        <f t="shared" si="112"/>
        <v>0</v>
      </c>
    </row>
    <row r="205" spans="1:14" s="896" customFormat="1" ht="14.25" customHeight="1">
      <c r="A205" s="2622"/>
      <c r="B205" s="2605"/>
      <c r="C205" s="1110" t="s">
        <v>2549</v>
      </c>
      <c r="D205" s="1138">
        <f t="shared" si="107"/>
        <v>1</v>
      </c>
      <c r="E205" s="1113">
        <f>+E187</f>
        <v>0.02</v>
      </c>
      <c r="F205" s="1064">
        <f t="shared" si="108"/>
        <v>113598</v>
      </c>
      <c r="G205" s="1080">
        <f>ROUNDDOWN(G187*$E205*$D205,0)</f>
        <v>73164</v>
      </c>
      <c r="H205" s="1080">
        <f t="shared" si="112"/>
        <v>0</v>
      </c>
      <c r="I205" s="1080">
        <f t="shared" si="112"/>
        <v>40434</v>
      </c>
      <c r="J205" s="1080">
        <f t="shared" si="112"/>
        <v>0</v>
      </c>
      <c r="K205" s="1080">
        <f>ROUNDDOWN(K187*$E205*$D205,0)</f>
        <v>0</v>
      </c>
      <c r="L205" s="1080">
        <f t="shared" si="112"/>
        <v>0</v>
      </c>
      <c r="M205" s="1080">
        <f t="shared" si="112"/>
        <v>0</v>
      </c>
      <c r="N205" s="1081">
        <f t="shared" si="112"/>
        <v>0</v>
      </c>
    </row>
    <row r="206" spans="1:14" s="896" customFormat="1" ht="14.25" customHeight="1">
      <c r="A206" s="2622"/>
      <c r="B206" s="2605"/>
      <c r="C206" s="1110" t="s">
        <v>2629</v>
      </c>
      <c r="D206" s="1138"/>
      <c r="E206" s="1113"/>
      <c r="F206" s="1064"/>
      <c r="G206" s="1080"/>
      <c r="H206" s="1080"/>
      <c r="I206" s="1080"/>
      <c r="J206" s="1080"/>
      <c r="K206" s="1080"/>
      <c r="L206" s="1080"/>
      <c r="M206" s="1080"/>
      <c r="N206" s="1081"/>
    </row>
    <row r="207" spans="1:14" s="896" customFormat="1" ht="14.25" customHeight="1">
      <c r="A207" s="2622"/>
      <c r="B207" s="2605"/>
      <c r="C207" s="1139"/>
      <c r="D207" s="1138"/>
      <c r="E207" s="1113"/>
      <c r="F207" s="1064"/>
      <c r="G207" s="1080"/>
      <c r="H207" s="1080"/>
      <c r="I207" s="1080"/>
      <c r="J207" s="1080"/>
      <c r="K207" s="1080"/>
      <c r="L207" s="1080"/>
      <c r="M207" s="1080"/>
      <c r="N207" s="1081"/>
    </row>
    <row r="208" spans="1:14" s="896" customFormat="1" ht="14.25" customHeight="1">
      <c r="A208" s="2622"/>
      <c r="B208" s="2605"/>
      <c r="C208" s="1110" t="s">
        <v>2552</v>
      </c>
      <c r="D208" s="1138">
        <f t="shared" ref="D208:E211" si="113">+D190</f>
        <v>1</v>
      </c>
      <c r="E208" s="1113">
        <f t="shared" si="113"/>
        <v>0.02</v>
      </c>
      <c r="F208" s="1064">
        <f t="shared" ref="F208:F216" si="114">SUM(G208:N208)</f>
        <v>0</v>
      </c>
      <c r="G208" s="1080">
        <f t="shared" ref="G208:N211" si="115">ROUNDDOWN(G190*$E208*$D208,0)</f>
        <v>0</v>
      </c>
      <c r="H208" s="1080">
        <f t="shared" si="115"/>
        <v>0</v>
      </c>
      <c r="I208" s="1080">
        <f t="shared" si="115"/>
        <v>0</v>
      </c>
      <c r="J208" s="1080">
        <f t="shared" si="115"/>
        <v>0</v>
      </c>
      <c r="K208" s="1080">
        <f>ROUNDDOWN(K190*$E208*$D208,0)</f>
        <v>0</v>
      </c>
      <c r="L208" s="1080">
        <f t="shared" si="115"/>
        <v>0</v>
      </c>
      <c r="M208" s="1080">
        <f t="shared" si="115"/>
        <v>0</v>
      </c>
      <c r="N208" s="1081">
        <f t="shared" si="115"/>
        <v>0</v>
      </c>
    </row>
    <row r="209" spans="1:14" s="896" customFormat="1" ht="14.25" customHeight="1">
      <c r="A209" s="2622"/>
      <c r="B209" s="2605"/>
      <c r="C209" s="1114" t="s">
        <v>2553</v>
      </c>
      <c r="D209" s="1138">
        <f t="shared" si="113"/>
        <v>1</v>
      </c>
      <c r="E209" s="1113">
        <f t="shared" si="113"/>
        <v>0.02</v>
      </c>
      <c r="F209" s="1064">
        <f t="shared" si="114"/>
        <v>0</v>
      </c>
      <c r="G209" s="1080">
        <f t="shared" si="115"/>
        <v>0</v>
      </c>
      <c r="H209" s="1080">
        <f t="shared" si="115"/>
        <v>0</v>
      </c>
      <c r="I209" s="1080">
        <f t="shared" si="115"/>
        <v>0</v>
      </c>
      <c r="J209" s="1080">
        <f t="shared" si="115"/>
        <v>0</v>
      </c>
      <c r="K209" s="1080">
        <f>ROUNDDOWN(K191*$E209*$D209,0)</f>
        <v>0</v>
      </c>
      <c r="L209" s="1080">
        <f t="shared" si="115"/>
        <v>0</v>
      </c>
      <c r="M209" s="1080">
        <f t="shared" si="115"/>
        <v>0</v>
      </c>
      <c r="N209" s="1081">
        <f t="shared" si="115"/>
        <v>0</v>
      </c>
    </row>
    <row r="210" spans="1:14" s="896" customFormat="1" ht="14.25" customHeight="1">
      <c r="A210" s="2622"/>
      <c r="B210" s="2605"/>
      <c r="C210" s="1114" t="s">
        <v>2631</v>
      </c>
      <c r="D210" s="1138">
        <f t="shared" si="113"/>
        <v>1</v>
      </c>
      <c r="E210" s="1113">
        <f t="shared" si="113"/>
        <v>0.02</v>
      </c>
      <c r="F210" s="1064">
        <f t="shared" si="114"/>
        <v>0</v>
      </c>
      <c r="G210" s="1080">
        <f t="shared" si="115"/>
        <v>0</v>
      </c>
      <c r="H210" s="1080">
        <f t="shared" si="115"/>
        <v>0</v>
      </c>
      <c r="I210" s="1080">
        <f t="shared" si="115"/>
        <v>0</v>
      </c>
      <c r="J210" s="1080">
        <f t="shared" si="115"/>
        <v>0</v>
      </c>
      <c r="K210" s="1080">
        <f>ROUNDDOWN(K192*$E210*$D210,0)</f>
        <v>0</v>
      </c>
      <c r="L210" s="1080">
        <f t="shared" si="115"/>
        <v>0</v>
      </c>
      <c r="M210" s="1080">
        <f t="shared" si="115"/>
        <v>0</v>
      </c>
      <c r="N210" s="1081">
        <f t="shared" si="115"/>
        <v>0</v>
      </c>
    </row>
    <row r="211" spans="1:14" s="896" customFormat="1" ht="14.25" customHeight="1">
      <c r="A211" s="2622"/>
      <c r="B211" s="2606"/>
      <c r="C211" s="1110" t="s">
        <v>2661</v>
      </c>
      <c r="D211" s="1138">
        <f t="shared" si="113"/>
        <v>1</v>
      </c>
      <c r="E211" s="1113">
        <f t="shared" si="113"/>
        <v>0.02</v>
      </c>
      <c r="F211" s="1064">
        <f t="shared" si="114"/>
        <v>0</v>
      </c>
      <c r="G211" s="1080">
        <f>ROUNDDOWN(G193*$E211*$D211,0)</f>
        <v>0</v>
      </c>
      <c r="H211" s="1080">
        <f t="shared" si="115"/>
        <v>0</v>
      </c>
      <c r="I211" s="1080">
        <f t="shared" si="115"/>
        <v>0</v>
      </c>
      <c r="J211" s="1080">
        <f t="shared" si="115"/>
        <v>0</v>
      </c>
      <c r="K211" s="1080">
        <f>ROUNDDOWN(K193*$E211*$D211,0)</f>
        <v>0</v>
      </c>
      <c r="L211" s="1080">
        <f t="shared" si="115"/>
        <v>0</v>
      </c>
      <c r="M211" s="1080">
        <f t="shared" si="115"/>
        <v>0</v>
      </c>
      <c r="N211" s="1081">
        <f t="shared" si="115"/>
        <v>0</v>
      </c>
    </row>
    <row r="212" spans="1:14" s="896" customFormat="1" ht="14.25" customHeight="1">
      <c r="A212" s="2622"/>
      <c r="B212" s="2643" t="s">
        <v>2662</v>
      </c>
      <c r="C212" s="1110" t="s">
        <v>2574</v>
      </c>
      <c r="D212" s="1156"/>
      <c r="E212" s="1157"/>
      <c r="F212" s="1064">
        <f t="shared" si="114"/>
        <v>0</v>
      </c>
      <c r="G212" s="1158"/>
      <c r="H212" s="1158"/>
      <c r="I212" s="1158"/>
      <c r="J212" s="1158"/>
      <c r="K212" s="1158"/>
      <c r="L212" s="1158"/>
      <c r="M212" s="1158"/>
      <c r="N212" s="1159"/>
    </row>
    <row r="213" spans="1:14" s="896" customFormat="1" ht="14.25" customHeight="1">
      <c r="A213" s="2622"/>
      <c r="B213" s="2644"/>
      <c r="C213" s="1160" t="s">
        <v>2663</v>
      </c>
      <c r="D213" s="1156"/>
      <c r="E213" s="1157"/>
      <c r="F213" s="1064">
        <f t="shared" si="114"/>
        <v>0</v>
      </c>
      <c r="G213" s="912"/>
      <c r="H213" s="912"/>
      <c r="I213" s="912"/>
      <c r="J213" s="912"/>
      <c r="K213" s="912"/>
      <c r="L213" s="912"/>
      <c r="M213" s="912"/>
      <c r="N213" s="913"/>
    </row>
    <row r="214" spans="1:14" s="896" customFormat="1" ht="13.5" customHeight="1" thickBot="1">
      <c r="A214" s="2626"/>
      <c r="B214" s="1161" t="s">
        <v>2644</v>
      </c>
      <c r="C214" s="1154" t="s">
        <v>2659</v>
      </c>
      <c r="D214" s="1156">
        <f>+D194</f>
        <v>1</v>
      </c>
      <c r="E214" s="1157">
        <f>+E194</f>
        <v>0</v>
      </c>
      <c r="F214" s="1064">
        <f t="shared" si="114"/>
        <v>0</v>
      </c>
      <c r="G214" s="1080">
        <f>ROUNDDOWN(G194*$E214*$D214,0)</f>
        <v>0</v>
      </c>
      <c r="H214" s="1080">
        <f t="shared" ref="H214:N214" si="116">ROUNDDOWN(H194*$E214*$D214,0)</f>
        <v>0</v>
      </c>
      <c r="I214" s="1080">
        <f t="shared" si="116"/>
        <v>0</v>
      </c>
      <c r="J214" s="1080">
        <f t="shared" si="116"/>
        <v>0</v>
      </c>
      <c r="K214" s="1080">
        <f>ROUNDDOWN(K194*$E214*$D214,0)</f>
        <v>0</v>
      </c>
      <c r="L214" s="1080">
        <f t="shared" si="116"/>
        <v>0</v>
      </c>
      <c r="M214" s="1080">
        <f t="shared" si="116"/>
        <v>0</v>
      </c>
      <c r="N214" s="1162">
        <f t="shared" si="116"/>
        <v>0</v>
      </c>
    </row>
    <row r="215" spans="1:14" s="896" customFormat="1" ht="13.5" customHeight="1" thickTop="1">
      <c r="A215" s="1163"/>
      <c r="B215" s="1164"/>
      <c r="C215" s="1165" t="s">
        <v>2664</v>
      </c>
      <c r="D215" s="1166"/>
      <c r="E215" s="1167"/>
      <c r="F215" s="1168">
        <f t="shared" si="114"/>
        <v>23273755</v>
      </c>
      <c r="G215" s="1169">
        <f t="shared" ref="G215:N215" si="117">SUM(G200:G214)+G198</f>
        <v>4792956</v>
      </c>
      <c r="H215" s="1169">
        <f>SUM(H200:H214)+H198</f>
        <v>2736856</v>
      </c>
      <c r="I215" s="1169">
        <f>SUM(I200:I214)+I198</f>
        <v>15743943</v>
      </c>
      <c r="J215" s="1169">
        <f t="shared" si="117"/>
        <v>0</v>
      </c>
      <c r="K215" s="1169">
        <f>SUM(K200:K214)+K198</f>
        <v>0</v>
      </c>
      <c r="L215" s="1169">
        <f t="shared" si="117"/>
        <v>0</v>
      </c>
      <c r="M215" s="1169">
        <f t="shared" si="117"/>
        <v>0</v>
      </c>
      <c r="N215" s="1170">
        <f t="shared" si="117"/>
        <v>0</v>
      </c>
    </row>
    <row r="216" spans="1:14" s="896" customFormat="1" ht="13.5" customHeight="1">
      <c r="A216" s="1171"/>
      <c r="B216" s="1172"/>
      <c r="C216" s="1072" t="s">
        <v>2665</v>
      </c>
      <c r="D216" s="1173"/>
      <c r="E216" s="945"/>
      <c r="F216" s="946">
        <f t="shared" si="114"/>
        <v>236050839</v>
      </c>
      <c r="G216" s="1073">
        <f t="shared" ref="G216:N216" si="118">+G91+G215</f>
        <v>49588917</v>
      </c>
      <c r="H216" s="1073">
        <f>+H91+H215</f>
        <v>31650790</v>
      </c>
      <c r="I216" s="1073">
        <f t="shared" si="118"/>
        <v>154811132</v>
      </c>
      <c r="J216" s="1073">
        <f t="shared" si="118"/>
        <v>0</v>
      </c>
      <c r="K216" s="1073">
        <f>+K91+K215</f>
        <v>0</v>
      </c>
      <c r="L216" s="1073">
        <f t="shared" si="118"/>
        <v>0</v>
      </c>
      <c r="M216" s="1073">
        <f t="shared" si="118"/>
        <v>0</v>
      </c>
      <c r="N216" s="1074">
        <f t="shared" si="118"/>
        <v>0</v>
      </c>
    </row>
    <row r="217" spans="1:14" s="896" customFormat="1" ht="13.5" customHeight="1">
      <c r="A217" s="1295"/>
      <c r="B217" s="1295"/>
      <c r="C217" s="924"/>
      <c r="D217" s="924"/>
      <c r="E217" s="1295"/>
      <c r="F217" s="1153"/>
      <c r="G217" s="915"/>
      <c r="H217" s="915"/>
      <c r="I217" s="915"/>
      <c r="J217" s="915"/>
      <c r="K217" s="915"/>
      <c r="L217" s="915"/>
      <c r="M217" s="915"/>
      <c r="N217" s="915"/>
    </row>
    <row r="218" spans="1:14" s="896" customFormat="1" ht="13.5" customHeight="1">
      <c r="A218" s="1295"/>
      <c r="B218" s="1295"/>
      <c r="C218" s="1099" t="s">
        <v>2666</v>
      </c>
      <c r="D218" s="1099"/>
      <c r="E218" s="923"/>
      <c r="F218" s="1042"/>
      <c r="G218" s="1100"/>
      <c r="H218" s="1046"/>
      <c r="I218" s="1046"/>
      <c r="J218" s="1046"/>
      <c r="K218" s="1046"/>
      <c r="L218" s="1046"/>
      <c r="M218" s="1046"/>
      <c r="N218" s="1100" t="s">
        <v>2667</v>
      </c>
    </row>
    <row r="219" spans="1:14" s="896" customFormat="1" ht="13.5" customHeight="1">
      <c r="A219" s="1070"/>
      <c r="B219" s="1070"/>
      <c r="C219" s="1070"/>
      <c r="D219" s="1070"/>
      <c r="E219" s="1070"/>
      <c r="F219" s="1040"/>
      <c r="G219" s="1174"/>
      <c r="H219" s="1174"/>
      <c r="I219" s="1174"/>
      <c r="J219" s="1174"/>
      <c r="K219" s="1174"/>
      <c r="L219" s="1174"/>
      <c r="M219" s="1174"/>
      <c r="N219" s="1174"/>
    </row>
    <row r="220" spans="1:14" s="896" customFormat="1" ht="13.5" customHeight="1">
      <c r="A220" s="2627"/>
      <c r="B220" s="2628"/>
      <c r="C220" s="2629"/>
      <c r="D220" s="1175"/>
      <c r="E220" s="1091" t="s">
        <v>2668</v>
      </c>
      <c r="F220" s="1092" t="s">
        <v>2517</v>
      </c>
      <c r="G220" s="1093" t="str">
        <f t="shared" ref="G220:N220" si="119">+G86</f>
        <v>工事6</v>
      </c>
      <c r="H220" s="1093" t="str">
        <f t="shared" si="119"/>
        <v>工事7</v>
      </c>
      <c r="I220" s="1093" t="str">
        <f t="shared" si="119"/>
        <v>工事8</v>
      </c>
      <c r="J220" s="1093">
        <f t="shared" si="119"/>
        <v>0</v>
      </c>
      <c r="K220" s="1093">
        <f t="shared" si="119"/>
        <v>0</v>
      </c>
      <c r="L220" s="1093">
        <f t="shared" si="119"/>
        <v>0</v>
      </c>
      <c r="M220" s="1093">
        <f t="shared" si="119"/>
        <v>0</v>
      </c>
      <c r="N220" s="1094">
        <f t="shared" si="119"/>
        <v>0</v>
      </c>
    </row>
    <row r="221" spans="1:14" s="896" customFormat="1" ht="13.5" customHeight="1" thickBot="1">
      <c r="A221" s="2630"/>
      <c r="B221" s="2631"/>
      <c r="C221" s="2632"/>
      <c r="D221" s="1176"/>
      <c r="E221" s="1177"/>
      <c r="F221" s="1053"/>
      <c r="G221" s="1178"/>
      <c r="H221" s="1178"/>
      <c r="I221" s="1178"/>
      <c r="J221" s="1178"/>
      <c r="K221" s="1178"/>
      <c r="L221" s="1178"/>
      <c r="M221" s="1178"/>
      <c r="N221" s="1179"/>
    </row>
    <row r="222" spans="1:14" s="896" customFormat="1" ht="13.5" customHeight="1" thickBot="1">
      <c r="A222" s="1180"/>
      <c r="B222" s="1181"/>
      <c r="C222" s="1182" t="s">
        <v>2669</v>
      </c>
      <c r="D222" s="1183"/>
      <c r="E222" s="1184"/>
      <c r="F222" s="1185">
        <f>SUM(G222:N222)</f>
        <v>236050839</v>
      </c>
      <c r="G222" s="1186">
        <f t="shared" ref="G222:N222" si="120">IF(G223="",+G216,0)</f>
        <v>49588917</v>
      </c>
      <c r="H222" s="1186">
        <f t="shared" si="120"/>
        <v>31650790</v>
      </c>
      <c r="I222" s="1186">
        <f t="shared" si="120"/>
        <v>154811132</v>
      </c>
      <c r="J222" s="1186">
        <f t="shared" si="120"/>
        <v>0</v>
      </c>
      <c r="K222" s="1186">
        <f t="shared" si="120"/>
        <v>0</v>
      </c>
      <c r="L222" s="1186">
        <f t="shared" si="120"/>
        <v>0</v>
      </c>
      <c r="M222" s="1186">
        <f t="shared" si="120"/>
        <v>0</v>
      </c>
      <c r="N222" s="1187">
        <f t="shared" si="120"/>
        <v>0</v>
      </c>
    </row>
    <row r="223" spans="1:14" s="896" customFormat="1" ht="13.5" customHeight="1">
      <c r="A223" s="1294"/>
      <c r="B223" s="1295"/>
      <c r="C223" s="1188" t="s">
        <v>2670</v>
      </c>
      <c r="D223" s="1189"/>
      <c r="E223" s="1190"/>
      <c r="F223" s="926">
        <f>SUM(G223:N223)</f>
        <v>0</v>
      </c>
      <c r="G223" s="926" t="str">
        <f>IF(G245="","",G216)</f>
        <v/>
      </c>
      <c r="H223" s="926" t="str">
        <f t="shared" ref="H223:N223" si="121">IF(H245="","",H216)</f>
        <v/>
      </c>
      <c r="I223" s="926" t="str">
        <f>IF(I245="","",I216)</f>
        <v/>
      </c>
      <c r="J223" s="926" t="str">
        <f t="shared" si="121"/>
        <v/>
      </c>
      <c r="K223" s="926" t="str">
        <f t="shared" si="121"/>
        <v/>
      </c>
      <c r="L223" s="926" t="str">
        <f t="shared" si="121"/>
        <v/>
      </c>
      <c r="M223" s="926" t="str">
        <f t="shared" si="121"/>
        <v/>
      </c>
      <c r="N223" s="1191" t="str">
        <f t="shared" si="121"/>
        <v/>
      </c>
    </row>
    <row r="224" spans="1:14" s="896" customFormat="1" ht="13.5" customHeight="1">
      <c r="A224" s="1171"/>
      <c r="B224" s="1172"/>
      <c r="C224" s="2633" t="s">
        <v>2671</v>
      </c>
      <c r="D224" s="2633"/>
      <c r="E224" s="2634"/>
      <c r="F224" s="946">
        <f>F222+F223-F232</f>
        <v>236050839</v>
      </c>
      <c r="G224" s="1073"/>
      <c r="H224" s="1073"/>
      <c r="I224" s="1073"/>
      <c r="J224" s="1073"/>
      <c r="K224" s="1073"/>
      <c r="L224" s="1073"/>
      <c r="M224" s="1073"/>
      <c r="N224" s="1074"/>
    </row>
    <row r="225" spans="1:14" s="896" customFormat="1" ht="13.5" customHeight="1">
      <c r="A225" s="877"/>
      <c r="B225" s="878"/>
      <c r="C225" s="878"/>
      <c r="D225" s="1192"/>
      <c r="E225" s="881" t="str">
        <f>E86</f>
        <v>無し</v>
      </c>
      <c r="F225" s="2635" t="s">
        <v>2672</v>
      </c>
      <c r="G225" s="2636"/>
      <c r="H225" s="1077"/>
      <c r="I225" s="1077"/>
      <c r="J225" s="1077"/>
      <c r="K225" s="1077"/>
      <c r="L225" s="1077"/>
      <c r="M225" s="1077"/>
      <c r="N225" s="1078"/>
    </row>
    <row r="226" spans="1:14" s="896" customFormat="1" ht="13.5" customHeight="1">
      <c r="A226" s="2637" t="s">
        <v>2673</v>
      </c>
      <c r="B226" s="2638"/>
      <c r="C226" s="2639"/>
      <c r="D226" s="1193"/>
      <c r="E226" s="1194" t="str">
        <f>+E87</f>
        <v>有り</v>
      </c>
      <c r="F226" s="2640" t="s">
        <v>2674</v>
      </c>
      <c r="G226" s="2641"/>
      <c r="H226" s="1073"/>
      <c r="I226" s="1073"/>
      <c r="J226" s="1073"/>
      <c r="K226" s="1073"/>
      <c r="L226" s="1073"/>
      <c r="M226" s="1073"/>
      <c r="N226" s="1074"/>
    </row>
    <row r="227" spans="1:14" s="896" customFormat="1" ht="13.5" customHeight="1">
      <c r="A227" s="2642"/>
      <c r="B227" s="1195" t="s">
        <v>161</v>
      </c>
      <c r="C227" s="1196" t="s">
        <v>2675</v>
      </c>
      <c r="D227" s="1197">
        <v>1</v>
      </c>
      <c r="E227" s="1198">
        <f>+G296/100</f>
        <v>0.1193</v>
      </c>
      <c r="F227" s="907">
        <f>SUM(G227:N227)</f>
        <v>236050839</v>
      </c>
      <c r="G227" s="1077">
        <f>+G222-G232</f>
        <v>49588917</v>
      </c>
      <c r="H227" s="1077">
        <f t="shared" ref="H227:N227" si="122">+H222-H232</f>
        <v>31650790</v>
      </c>
      <c r="I227" s="1077">
        <f>+I222-I232</f>
        <v>154811132</v>
      </c>
      <c r="J227" s="1077">
        <f t="shared" si="122"/>
        <v>0</v>
      </c>
      <c r="K227" s="1077">
        <f t="shared" si="122"/>
        <v>0</v>
      </c>
      <c r="L227" s="1077">
        <f t="shared" si="122"/>
        <v>0</v>
      </c>
      <c r="M227" s="1077">
        <f t="shared" si="122"/>
        <v>0</v>
      </c>
      <c r="N227" s="1078">
        <f t="shared" si="122"/>
        <v>0</v>
      </c>
    </row>
    <row r="228" spans="1:14" s="896" customFormat="1" ht="13.5" customHeight="1">
      <c r="A228" s="2602"/>
      <c r="B228" s="2607" t="s">
        <v>2676</v>
      </c>
      <c r="C228" s="910" t="s">
        <v>2677</v>
      </c>
      <c r="D228" s="1138">
        <v>0.05</v>
      </c>
      <c r="E228" s="1113">
        <f>IF(OR(G83="無し",G83="なし"),IF(E225="無し",E227,0),0)</f>
        <v>0.1193</v>
      </c>
      <c r="F228" s="911">
        <f>SUM(G228:N228)</f>
        <v>236050839</v>
      </c>
      <c r="G228" s="912">
        <f>IF(G245=0,+G227,0)</f>
        <v>49588917</v>
      </c>
      <c r="H228" s="912">
        <f>IF(H245=0,+H227,0)</f>
        <v>31650790</v>
      </c>
      <c r="I228" s="912">
        <f t="shared" ref="I228:N228" si="123">IF(I245=0,+I227,0)</f>
        <v>154811132</v>
      </c>
      <c r="J228" s="912">
        <f t="shared" si="123"/>
        <v>0</v>
      </c>
      <c r="K228" s="912">
        <f t="shared" si="123"/>
        <v>0</v>
      </c>
      <c r="L228" s="912">
        <f t="shared" si="123"/>
        <v>0</v>
      </c>
      <c r="M228" s="912">
        <f t="shared" si="123"/>
        <v>0</v>
      </c>
      <c r="N228" s="913">
        <f t="shared" si="123"/>
        <v>0</v>
      </c>
    </row>
    <row r="229" spans="1:14" s="896" customFormat="1" ht="13.5" customHeight="1">
      <c r="A229" s="2602"/>
      <c r="B229" s="2606"/>
      <c r="C229" s="910" t="s">
        <v>2678</v>
      </c>
      <c r="D229" s="1199">
        <v>1</v>
      </c>
      <c r="E229" s="1113">
        <f>IF(OR(E226="無し",E226="なし"),0,0.0004)</f>
        <v>4.0000000000000002E-4</v>
      </c>
      <c r="F229" s="911">
        <f>SUM(G229:N229)</f>
        <v>236050839</v>
      </c>
      <c r="G229" s="912">
        <f>IF(G245=0,+G227,0)</f>
        <v>49588917</v>
      </c>
      <c r="H229" s="912">
        <f t="shared" ref="H229:N229" si="124">IF(H245=0,+H227,0)</f>
        <v>31650790</v>
      </c>
      <c r="I229" s="912">
        <f t="shared" si="124"/>
        <v>154811132</v>
      </c>
      <c r="J229" s="912">
        <f t="shared" si="124"/>
        <v>0</v>
      </c>
      <c r="K229" s="912">
        <f t="shared" si="124"/>
        <v>0</v>
      </c>
      <c r="L229" s="912">
        <f t="shared" si="124"/>
        <v>0</v>
      </c>
      <c r="M229" s="912">
        <f t="shared" si="124"/>
        <v>0</v>
      </c>
      <c r="N229" s="913">
        <f t="shared" si="124"/>
        <v>0</v>
      </c>
    </row>
    <row r="230" spans="1:14" s="896" customFormat="1" ht="13.5" customHeight="1">
      <c r="A230" s="2602"/>
      <c r="B230" s="1200"/>
      <c r="C230" s="910"/>
      <c r="D230" s="1201"/>
      <c r="E230" s="1201"/>
      <c r="F230" s="911"/>
      <c r="G230" s="912"/>
      <c r="H230" s="912"/>
      <c r="I230" s="912"/>
      <c r="J230" s="912"/>
      <c r="K230" s="912"/>
      <c r="L230" s="912"/>
      <c r="M230" s="912"/>
      <c r="N230" s="913"/>
    </row>
    <row r="231" spans="1:14" s="896" customFormat="1" ht="13.5" customHeight="1">
      <c r="A231" s="2602"/>
      <c r="B231" s="1200"/>
      <c r="C231" s="910"/>
      <c r="D231" s="1201"/>
      <c r="E231" s="1201"/>
      <c r="F231" s="911"/>
      <c r="G231" s="912"/>
      <c r="H231" s="912"/>
      <c r="I231" s="912"/>
      <c r="J231" s="912"/>
      <c r="K231" s="912"/>
      <c r="L231" s="912"/>
      <c r="M231" s="912"/>
      <c r="N231" s="913"/>
    </row>
    <row r="232" spans="1:14" s="896" customFormat="1" ht="13.5" customHeight="1">
      <c r="A232" s="2602"/>
      <c r="B232" s="2607" t="s">
        <v>2679</v>
      </c>
      <c r="C232" s="1110" t="str">
        <f>+C136</f>
        <v>(17)下水道使用料、各種負担金（共通仮設）</v>
      </c>
      <c r="D232" s="1202">
        <v>1</v>
      </c>
      <c r="E232" s="1203">
        <v>0</v>
      </c>
      <c r="F232" s="911">
        <f>SUM(G232:N232)</f>
        <v>0</v>
      </c>
      <c r="G232" s="912">
        <f>+G136</f>
        <v>0</v>
      </c>
      <c r="H232" s="912">
        <f t="shared" ref="H232:N232" si="125">+H136</f>
        <v>0</v>
      </c>
      <c r="I232" s="912">
        <f t="shared" si="125"/>
        <v>0</v>
      </c>
      <c r="J232" s="912">
        <f t="shared" si="125"/>
        <v>0</v>
      </c>
      <c r="K232" s="912">
        <f>+K136</f>
        <v>0</v>
      </c>
      <c r="L232" s="912">
        <f t="shared" si="125"/>
        <v>0</v>
      </c>
      <c r="M232" s="912">
        <f t="shared" si="125"/>
        <v>0</v>
      </c>
      <c r="N232" s="913">
        <f t="shared" si="125"/>
        <v>0</v>
      </c>
    </row>
    <row r="233" spans="1:14" s="896" customFormat="1" ht="13.5" customHeight="1">
      <c r="A233" s="2602"/>
      <c r="B233" s="2605"/>
      <c r="C233" s="1204"/>
      <c r="D233" s="1110"/>
      <c r="E233" s="1203"/>
      <c r="F233" s="911"/>
      <c r="G233" s="912"/>
      <c r="H233" s="912"/>
      <c r="I233" s="912"/>
      <c r="J233" s="912"/>
      <c r="K233" s="912"/>
      <c r="L233" s="912"/>
      <c r="M233" s="912"/>
      <c r="N233" s="913"/>
    </row>
    <row r="234" spans="1:14" s="896" customFormat="1" ht="13.5" customHeight="1">
      <c r="A234" s="2603"/>
      <c r="B234" s="2608"/>
      <c r="C234" s="1205"/>
      <c r="D234" s="1154"/>
      <c r="E234" s="1206"/>
      <c r="F234" s="946"/>
      <c r="G234" s="1073"/>
      <c r="H234" s="1073"/>
      <c r="I234" s="1073"/>
      <c r="J234" s="1073"/>
      <c r="K234" s="1073"/>
      <c r="L234" s="1073"/>
      <c r="M234" s="1073"/>
      <c r="N234" s="1074"/>
    </row>
    <row r="235" spans="1:14" s="896" customFormat="1" ht="13.5" customHeight="1">
      <c r="A235" s="877"/>
      <c r="B235" s="878"/>
      <c r="C235" s="1207"/>
      <c r="D235" s="1208"/>
      <c r="E235" s="1209"/>
      <c r="F235" s="907"/>
      <c r="G235" s="1077"/>
      <c r="H235" s="1077"/>
      <c r="I235" s="1077"/>
      <c r="J235" s="1077"/>
      <c r="K235" s="1077"/>
      <c r="L235" s="1077"/>
      <c r="M235" s="1077"/>
      <c r="N235" s="1078"/>
    </row>
    <row r="236" spans="1:14" s="896" customFormat="1" ht="13.5" customHeight="1">
      <c r="A236" s="2637" t="s">
        <v>2680</v>
      </c>
      <c r="B236" s="2638"/>
      <c r="C236" s="2639"/>
      <c r="D236" s="1210"/>
      <c r="E236" s="1211"/>
      <c r="F236" s="1212"/>
      <c r="G236" s="1073"/>
      <c r="H236" s="1073"/>
      <c r="I236" s="1073"/>
      <c r="J236" s="1073"/>
      <c r="K236" s="1073"/>
      <c r="L236" s="1073"/>
      <c r="M236" s="1073"/>
      <c r="N236" s="1074"/>
    </row>
    <row r="237" spans="1:14" s="896" customFormat="1" ht="13.5" customHeight="1">
      <c r="A237" s="1294"/>
      <c r="B237" s="1213" t="s">
        <v>161</v>
      </c>
      <c r="C237" s="1196" t="s">
        <v>2675</v>
      </c>
      <c r="D237" s="1197">
        <f t="shared" ref="D237:E239" si="126">+D227</f>
        <v>1</v>
      </c>
      <c r="E237" s="1214">
        <f>+E227</f>
        <v>0.1193</v>
      </c>
      <c r="F237" s="911">
        <f>INT(D237*E237*F227)</f>
        <v>28160865</v>
      </c>
      <c r="G237" s="1077">
        <f>F237-SUM(H237:N237)</f>
        <v>5915958</v>
      </c>
      <c r="H237" s="1077">
        <f>IF(H227=0,0,ROUND($F237/$F227*H227,0))</f>
        <v>3775939</v>
      </c>
      <c r="I237" s="1077">
        <f t="shared" ref="H237:N239" si="127">IF(I227=0,0,ROUND($F237/$F227*I227,0))</f>
        <v>18468968</v>
      </c>
      <c r="J237" s="1077">
        <f t="shared" si="127"/>
        <v>0</v>
      </c>
      <c r="K237" s="1077">
        <f t="shared" si="127"/>
        <v>0</v>
      </c>
      <c r="L237" s="1077">
        <f t="shared" si="127"/>
        <v>0</v>
      </c>
      <c r="M237" s="1077">
        <f t="shared" si="127"/>
        <v>0</v>
      </c>
      <c r="N237" s="1078">
        <f t="shared" si="127"/>
        <v>0</v>
      </c>
    </row>
    <row r="238" spans="1:14" s="896" customFormat="1" ht="13.5" customHeight="1">
      <c r="A238" s="1294"/>
      <c r="B238" s="2607" t="s">
        <v>2676</v>
      </c>
      <c r="C238" s="910" t="s">
        <v>2677</v>
      </c>
      <c r="D238" s="1202">
        <f t="shared" si="126"/>
        <v>0.05</v>
      </c>
      <c r="E238" s="1113">
        <f t="shared" si="126"/>
        <v>0.1193</v>
      </c>
      <c r="F238" s="911">
        <f>INT(D238*E238*F228)</f>
        <v>1408043</v>
      </c>
      <c r="G238" s="912">
        <f>F238-SUM(H238:N238)</f>
        <v>295798</v>
      </c>
      <c r="H238" s="912">
        <f t="shared" si="127"/>
        <v>188797</v>
      </c>
      <c r="I238" s="912">
        <f t="shared" si="127"/>
        <v>923448</v>
      </c>
      <c r="J238" s="912">
        <f t="shared" si="127"/>
        <v>0</v>
      </c>
      <c r="K238" s="912">
        <f t="shared" si="127"/>
        <v>0</v>
      </c>
      <c r="L238" s="912">
        <f t="shared" si="127"/>
        <v>0</v>
      </c>
      <c r="M238" s="912">
        <f t="shared" si="127"/>
        <v>0</v>
      </c>
      <c r="N238" s="913">
        <f t="shared" si="127"/>
        <v>0</v>
      </c>
    </row>
    <row r="239" spans="1:14" s="896" customFormat="1" ht="13.5" customHeight="1">
      <c r="A239" s="1294"/>
      <c r="B239" s="2606"/>
      <c r="C239" s="910" t="s">
        <v>2678</v>
      </c>
      <c r="D239" s="1202">
        <f t="shared" si="126"/>
        <v>1</v>
      </c>
      <c r="E239" s="1113">
        <f t="shared" si="126"/>
        <v>4.0000000000000002E-4</v>
      </c>
      <c r="F239" s="911">
        <f>INT(D239*E239*F229)</f>
        <v>94420</v>
      </c>
      <c r="G239" s="912">
        <f>F239-SUM(H239:N239)</f>
        <v>19836</v>
      </c>
      <c r="H239" s="912">
        <f>IF(H229=0,0,ROUND($F239/$F229*H229,0))</f>
        <v>12660</v>
      </c>
      <c r="I239" s="912">
        <f t="shared" si="127"/>
        <v>61924</v>
      </c>
      <c r="J239" s="912">
        <f t="shared" si="127"/>
        <v>0</v>
      </c>
      <c r="K239" s="912">
        <f t="shared" si="127"/>
        <v>0</v>
      </c>
      <c r="L239" s="912">
        <f t="shared" si="127"/>
        <v>0</v>
      </c>
      <c r="M239" s="912">
        <f t="shared" si="127"/>
        <v>0</v>
      </c>
      <c r="N239" s="913">
        <f t="shared" si="127"/>
        <v>0</v>
      </c>
    </row>
    <row r="240" spans="1:14" s="896" customFormat="1" ht="13.5" customHeight="1">
      <c r="A240" s="1294"/>
      <c r="B240" s="1200"/>
      <c r="C240" s="910"/>
      <c r="D240" s="1201"/>
      <c r="E240" s="1201"/>
      <c r="F240" s="911"/>
      <c r="G240" s="912"/>
      <c r="H240" s="912"/>
      <c r="I240" s="912"/>
      <c r="J240" s="912"/>
      <c r="K240" s="912"/>
      <c r="L240" s="912"/>
      <c r="M240" s="912"/>
      <c r="N240" s="913"/>
    </row>
    <row r="241" spans="1:14" s="896" customFormat="1" ht="13.5" customHeight="1">
      <c r="A241" s="1294"/>
      <c r="B241" s="1200"/>
      <c r="C241" s="910"/>
      <c r="D241" s="1201"/>
      <c r="E241" s="1201"/>
      <c r="F241" s="911"/>
      <c r="G241" s="912"/>
      <c r="H241" s="912"/>
      <c r="I241" s="912"/>
      <c r="J241" s="912"/>
      <c r="K241" s="912"/>
      <c r="L241" s="912"/>
      <c r="M241" s="912"/>
      <c r="N241" s="913"/>
    </row>
    <row r="242" spans="1:14" s="896" customFormat="1" ht="13.5" customHeight="1">
      <c r="A242" s="1294"/>
      <c r="B242" s="2607" t="s">
        <v>2679</v>
      </c>
      <c r="C242" s="1110" t="str">
        <f>+C136</f>
        <v>(17)下水道使用料、各種負担金（共通仮設）</v>
      </c>
      <c r="D242" s="1202">
        <f>+D232</f>
        <v>1</v>
      </c>
      <c r="E242" s="1113">
        <f>+E232</f>
        <v>0</v>
      </c>
      <c r="F242" s="911">
        <f>INT(D242*E242*F232)</f>
        <v>0</v>
      </c>
      <c r="G242" s="912">
        <f>F242-SUM(H242:N242)</f>
        <v>0</v>
      </c>
      <c r="H242" s="912">
        <f t="shared" ref="H242:N242" si="128">IF(H232=0,0,ROUND($F242/$F232*H232,0))</f>
        <v>0</v>
      </c>
      <c r="I242" s="912">
        <f t="shared" si="128"/>
        <v>0</v>
      </c>
      <c r="J242" s="912">
        <f t="shared" si="128"/>
        <v>0</v>
      </c>
      <c r="K242" s="912">
        <f>IF(K232=0,0,ROUND($F242/$F232*K232,0))</f>
        <v>0</v>
      </c>
      <c r="L242" s="912">
        <f t="shared" si="128"/>
        <v>0</v>
      </c>
      <c r="M242" s="912">
        <f t="shared" si="128"/>
        <v>0</v>
      </c>
      <c r="N242" s="913">
        <f t="shared" si="128"/>
        <v>0</v>
      </c>
    </row>
    <row r="243" spans="1:14" s="896" customFormat="1" ht="13.5" customHeight="1">
      <c r="A243" s="1294"/>
      <c r="B243" s="2605"/>
      <c r="C243" s="1204"/>
      <c r="D243" s="1110"/>
      <c r="E243" s="1201">
        <f>+G234</f>
        <v>0</v>
      </c>
      <c r="F243" s="911"/>
      <c r="G243" s="912"/>
      <c r="H243" s="912"/>
      <c r="I243" s="912"/>
      <c r="J243" s="912"/>
      <c r="K243" s="912"/>
      <c r="L243" s="912"/>
      <c r="M243" s="912"/>
      <c r="N243" s="913"/>
    </row>
    <row r="244" spans="1:14" s="896" customFormat="1" ht="13.5" customHeight="1">
      <c r="A244" s="1215"/>
      <c r="B244" s="2606"/>
      <c r="C244" s="1204"/>
      <c r="D244" s="1110"/>
      <c r="E244" s="1201">
        <f>+G235</f>
        <v>0</v>
      </c>
      <c r="F244" s="911"/>
      <c r="G244" s="912"/>
      <c r="H244" s="912"/>
      <c r="I244" s="912"/>
      <c r="J244" s="912"/>
      <c r="K244" s="912"/>
      <c r="L244" s="912"/>
      <c r="M244" s="912"/>
      <c r="N244" s="913"/>
    </row>
    <row r="245" spans="1:14" s="896" customFormat="1" ht="13.5" customHeight="1">
      <c r="A245" s="1215"/>
      <c r="B245" s="2643" t="s">
        <v>2662</v>
      </c>
      <c r="C245" s="1129" t="s">
        <v>2681</v>
      </c>
      <c r="D245" s="1216"/>
      <c r="E245" s="1217"/>
      <c r="F245" s="1218">
        <f>SUM(G245:N245)</f>
        <v>0</v>
      </c>
      <c r="G245" s="1219"/>
      <c r="H245" s="1219"/>
      <c r="I245" s="1219"/>
      <c r="J245" s="1219"/>
      <c r="K245" s="1219"/>
      <c r="L245" s="1219"/>
      <c r="M245" s="1219"/>
      <c r="N245" s="1220"/>
    </row>
    <row r="246" spans="1:14" s="896" customFormat="1" ht="13.5" customHeight="1">
      <c r="A246" s="1294"/>
      <c r="B246" s="2659"/>
      <c r="C246" s="1221" t="s">
        <v>2682</v>
      </c>
      <c r="D246" s="1156"/>
      <c r="E246" s="1157"/>
      <c r="F246" s="1064"/>
      <c r="G246" s="912"/>
      <c r="H246" s="912"/>
      <c r="I246" s="912"/>
      <c r="J246" s="912" t="s">
        <v>2683</v>
      </c>
      <c r="K246" s="912"/>
      <c r="L246" s="912"/>
      <c r="M246" s="912"/>
      <c r="N246" s="913"/>
    </row>
    <row r="247" spans="1:14" s="896" customFormat="1" ht="13.5" customHeight="1">
      <c r="A247" s="1180"/>
      <c r="B247" s="1181"/>
      <c r="C247" s="1181"/>
      <c r="D247" s="882"/>
      <c r="E247" s="882"/>
      <c r="F247" s="907"/>
      <c r="G247" s="1077"/>
      <c r="H247" s="1077"/>
      <c r="I247" s="1077"/>
      <c r="J247" s="1077"/>
      <c r="K247" s="1077"/>
      <c r="L247" s="1077"/>
      <c r="M247" s="1077"/>
      <c r="N247" s="1078"/>
    </row>
    <row r="248" spans="1:14" s="896" customFormat="1" ht="13.5" customHeight="1">
      <c r="A248" s="1222"/>
      <c r="B248" s="1082"/>
      <c r="C248" s="701" t="s">
        <v>2684</v>
      </c>
      <c r="D248" s="1204"/>
      <c r="E248" s="910"/>
      <c r="F248" s="911">
        <f>SUM(G248:N248)</f>
        <v>29663328</v>
      </c>
      <c r="G248" s="912">
        <f t="shared" ref="G248:N248" si="129">SUM(G237:G246)</f>
        <v>6231592</v>
      </c>
      <c r="H248" s="912">
        <f t="shared" si="129"/>
        <v>3977396</v>
      </c>
      <c r="I248" s="912">
        <f t="shared" si="129"/>
        <v>19454340</v>
      </c>
      <c r="J248" s="912">
        <f t="shared" si="129"/>
        <v>0</v>
      </c>
      <c r="K248" s="912">
        <f t="shared" si="129"/>
        <v>0</v>
      </c>
      <c r="L248" s="912">
        <f t="shared" si="129"/>
        <v>0</v>
      </c>
      <c r="M248" s="912">
        <f t="shared" si="129"/>
        <v>0</v>
      </c>
      <c r="N248" s="913">
        <f t="shared" si="129"/>
        <v>0</v>
      </c>
    </row>
    <row r="249" spans="1:14" s="896" customFormat="1" ht="13.5" customHeight="1">
      <c r="A249" s="1222"/>
      <c r="B249" s="1082"/>
      <c r="C249" s="701" t="s">
        <v>2665</v>
      </c>
      <c r="D249" s="1204"/>
      <c r="E249" s="910"/>
      <c r="F249" s="911">
        <f>SUM(G249:N249)</f>
        <v>236050839</v>
      </c>
      <c r="G249" s="912">
        <f t="shared" ref="G249:N249" si="130">+G216</f>
        <v>49588917</v>
      </c>
      <c r="H249" s="912">
        <f t="shared" si="130"/>
        <v>31650790</v>
      </c>
      <c r="I249" s="912">
        <f t="shared" si="130"/>
        <v>154811132</v>
      </c>
      <c r="J249" s="912">
        <f t="shared" si="130"/>
        <v>0</v>
      </c>
      <c r="K249" s="912">
        <f t="shared" si="130"/>
        <v>0</v>
      </c>
      <c r="L249" s="912">
        <f t="shared" si="130"/>
        <v>0</v>
      </c>
      <c r="M249" s="912">
        <f t="shared" si="130"/>
        <v>0</v>
      </c>
      <c r="N249" s="913">
        <f t="shared" si="130"/>
        <v>0</v>
      </c>
    </row>
    <row r="250" spans="1:14" s="896" customFormat="1" ht="13.5" customHeight="1" thickBot="1">
      <c r="A250" s="1223"/>
      <c r="B250" s="1224"/>
      <c r="C250" s="1225" t="s">
        <v>2685</v>
      </c>
      <c r="D250" s="1226"/>
      <c r="E250" s="1227"/>
      <c r="F250" s="1144">
        <f>SUM(G250:N250)</f>
        <v>265714167</v>
      </c>
      <c r="G250" s="1228">
        <f>SUM(G248:G249)</f>
        <v>55820509</v>
      </c>
      <c r="H250" s="1228">
        <f t="shared" ref="H250:N250" si="131">SUM(H248:H249)</f>
        <v>35628186</v>
      </c>
      <c r="I250" s="1228">
        <f t="shared" si="131"/>
        <v>174265472</v>
      </c>
      <c r="J250" s="1228">
        <f t="shared" si="131"/>
        <v>0</v>
      </c>
      <c r="K250" s="1228">
        <f>SUM(K248:K249)</f>
        <v>0</v>
      </c>
      <c r="L250" s="1228">
        <f t="shared" si="131"/>
        <v>0</v>
      </c>
      <c r="M250" s="1228">
        <f t="shared" si="131"/>
        <v>0</v>
      </c>
      <c r="N250" s="1229">
        <f t="shared" si="131"/>
        <v>0</v>
      </c>
    </row>
    <row r="251" spans="1:14" s="896" customFormat="1" ht="13.5" customHeight="1" thickTop="1">
      <c r="A251" s="1294"/>
      <c r="B251" s="1295"/>
      <c r="C251" s="1295"/>
      <c r="D251" s="925"/>
      <c r="E251" s="925"/>
      <c r="F251" s="926"/>
      <c r="G251" s="1230">
        <f t="shared" ref="G251:N251" si="132">ROUNDDOWN(G250,-3)</f>
        <v>55820000</v>
      </c>
      <c r="H251" s="1230">
        <f>ROUNDDOWN(H250,-3)</f>
        <v>35628000</v>
      </c>
      <c r="I251" s="1230">
        <f t="shared" si="132"/>
        <v>174265000</v>
      </c>
      <c r="J251" s="1230">
        <f t="shared" si="132"/>
        <v>0</v>
      </c>
      <c r="K251" s="1230">
        <f>ROUNDDOWN(K250,-3)</f>
        <v>0</v>
      </c>
      <c r="L251" s="1230">
        <f t="shared" si="132"/>
        <v>0</v>
      </c>
      <c r="M251" s="1230">
        <f t="shared" si="132"/>
        <v>0</v>
      </c>
      <c r="N251" s="1231">
        <f t="shared" si="132"/>
        <v>0</v>
      </c>
    </row>
    <row r="252" spans="1:14" s="896" customFormat="1" ht="13.5" customHeight="1">
      <c r="A252" s="1222"/>
      <c r="B252" s="1082"/>
      <c r="C252" s="701" t="s">
        <v>2665</v>
      </c>
      <c r="D252" s="1204"/>
      <c r="E252" s="910"/>
      <c r="F252" s="911">
        <f>SUM(G252:N252)</f>
        <v>236050839</v>
      </c>
      <c r="G252" s="912">
        <f t="shared" ref="G252:N252" si="133">+G249</f>
        <v>49588917</v>
      </c>
      <c r="H252" s="912">
        <f t="shared" si="133"/>
        <v>31650790</v>
      </c>
      <c r="I252" s="912">
        <f>+I249</f>
        <v>154811132</v>
      </c>
      <c r="J252" s="912">
        <f>+J249</f>
        <v>0</v>
      </c>
      <c r="K252" s="912">
        <f>+K249</f>
        <v>0</v>
      </c>
      <c r="L252" s="912">
        <f t="shared" si="133"/>
        <v>0</v>
      </c>
      <c r="M252" s="912">
        <f t="shared" si="133"/>
        <v>0</v>
      </c>
      <c r="N252" s="913">
        <f t="shared" si="133"/>
        <v>0</v>
      </c>
    </row>
    <row r="253" spans="1:14" s="896" customFormat="1" ht="13.5" customHeight="1">
      <c r="A253" s="1222"/>
      <c r="B253" s="1082"/>
      <c r="C253" s="701" t="s">
        <v>2686</v>
      </c>
      <c r="D253" s="1204"/>
      <c r="E253" s="1201"/>
      <c r="F253" s="911">
        <f>SUM(G253:N253)</f>
        <v>29649161</v>
      </c>
      <c r="G253" s="912">
        <f t="shared" ref="G253:N253" si="134">+G248-(G250-G255)</f>
        <v>6229083</v>
      </c>
      <c r="H253" s="912">
        <f>+H248-(H250-H255)</f>
        <v>3975210</v>
      </c>
      <c r="I253" s="912">
        <f t="shared" si="134"/>
        <v>19444868</v>
      </c>
      <c r="J253" s="912">
        <f>+J248-(J250-J255)</f>
        <v>0</v>
      </c>
      <c r="K253" s="912">
        <f>+K248-(K250-K255)</f>
        <v>0</v>
      </c>
      <c r="L253" s="912">
        <f t="shared" si="134"/>
        <v>0</v>
      </c>
      <c r="M253" s="912">
        <f t="shared" si="134"/>
        <v>0</v>
      </c>
      <c r="N253" s="913">
        <f t="shared" si="134"/>
        <v>0</v>
      </c>
    </row>
    <row r="254" spans="1:14" s="896" customFormat="1" ht="13.5" customHeight="1">
      <c r="A254" s="1222"/>
      <c r="B254" s="1082"/>
      <c r="C254" s="1082"/>
      <c r="D254" s="910"/>
      <c r="E254" s="1232">
        <f>SUM(G251:N251)</f>
        <v>265713000</v>
      </c>
      <c r="F254" s="911" t="s">
        <v>2687</v>
      </c>
      <c r="G254" s="912">
        <f t="shared" ref="G254:N254" si="135">+G248-G253</f>
        <v>2509</v>
      </c>
      <c r="H254" s="912">
        <f t="shared" si="135"/>
        <v>2186</v>
      </c>
      <c r="I254" s="912">
        <f t="shared" si="135"/>
        <v>9472</v>
      </c>
      <c r="J254" s="912">
        <f t="shared" si="135"/>
        <v>0</v>
      </c>
      <c r="K254" s="912">
        <f>+K248-K253</f>
        <v>0</v>
      </c>
      <c r="L254" s="912">
        <f t="shared" si="135"/>
        <v>0</v>
      </c>
      <c r="M254" s="1233">
        <f t="shared" si="135"/>
        <v>0</v>
      </c>
      <c r="N254" s="1234">
        <f t="shared" si="135"/>
        <v>0</v>
      </c>
    </row>
    <row r="255" spans="1:14" s="896" customFormat="1" ht="13.5" customHeight="1">
      <c r="A255" s="1235"/>
      <c r="B255" s="1063"/>
      <c r="C255" s="1063" t="s">
        <v>2688</v>
      </c>
      <c r="D255" s="1236"/>
      <c r="E255" s="1232">
        <f>ROUNDDOWN(E254,4-LEN(E254))</f>
        <v>265700000</v>
      </c>
      <c r="F255" s="1237">
        <f>+E255</f>
        <v>265700000</v>
      </c>
      <c r="G255" s="1233">
        <f>IF(F256+SUM(H255:N255)=F255,F256,F255-SUM(H255:N255))</f>
        <v>55818000</v>
      </c>
      <c r="H255" s="1233">
        <f t="shared" ref="H255:N255" si="136">IF(H245="",+H251-ROUND($E$256*H250/$F$250,-3),H250)</f>
        <v>35626000</v>
      </c>
      <c r="I255" s="1233">
        <f t="shared" si="136"/>
        <v>174256000</v>
      </c>
      <c r="J255" s="1233">
        <f t="shared" si="136"/>
        <v>0</v>
      </c>
      <c r="K255" s="1233">
        <f t="shared" si="136"/>
        <v>0</v>
      </c>
      <c r="L255" s="1233">
        <f t="shared" si="136"/>
        <v>0</v>
      </c>
      <c r="M255" s="1233">
        <f t="shared" si="136"/>
        <v>0</v>
      </c>
      <c r="N255" s="1234">
        <f t="shared" si="136"/>
        <v>0</v>
      </c>
    </row>
    <row r="256" spans="1:14" s="896" customFormat="1" ht="13.5" customHeight="1">
      <c r="A256" s="1238"/>
      <c r="B256" s="1239"/>
      <c r="C256" s="1239"/>
      <c r="D256" s="1240"/>
      <c r="E256" s="1241">
        <f>E254-E255</f>
        <v>13000</v>
      </c>
      <c r="F256" s="1242">
        <f>+G251-ROUND($E$256*G250/$F$250,-3)</f>
        <v>55817000</v>
      </c>
      <c r="G256" s="1241">
        <f t="shared" ref="G256:N256" si="137">IF(LEN(G250)&lt;=7,-3,IF(LEN(G250)=8,-4,IF(LEN(G250)&gt;=9,-5,-6)))</f>
        <v>-4</v>
      </c>
      <c r="H256" s="1241">
        <f t="shared" si="137"/>
        <v>-4</v>
      </c>
      <c r="I256" s="1241">
        <f t="shared" si="137"/>
        <v>-5</v>
      </c>
      <c r="J256" s="1241">
        <f>IF(LEN(J250)&lt;=7,-3,IF(LEN(J250)=8,-4,IF(LEN(J250)&gt;=9,-5,-6)))</f>
        <v>-3</v>
      </c>
      <c r="K256" s="1241">
        <f>IF(LEN(K250)&lt;=7,-3,IF(LEN(K250)=8,-4,IF(LEN(K250)&gt;=9,-5,-6)))</f>
        <v>-3</v>
      </c>
      <c r="L256" s="1241">
        <f t="shared" si="137"/>
        <v>-3</v>
      </c>
      <c r="M256" s="1241">
        <f t="shared" si="137"/>
        <v>-3</v>
      </c>
      <c r="N256" s="1243">
        <f t="shared" si="137"/>
        <v>-3</v>
      </c>
    </row>
    <row r="257" spans="1:14" s="896" customFormat="1" ht="13.5" customHeight="1">
      <c r="F257" s="1244"/>
      <c r="G257" s="1245"/>
      <c r="H257" s="1246"/>
      <c r="I257" s="1246"/>
      <c r="J257" s="1246"/>
      <c r="K257" s="1246"/>
      <c r="L257" s="1246"/>
      <c r="M257" s="1246"/>
      <c r="N257" s="1246"/>
    </row>
    <row r="258" spans="1:14" s="896" customFormat="1" ht="15" hidden="1" customHeight="1">
      <c r="A258" s="1247"/>
      <c r="B258" s="1248"/>
      <c r="C258" s="1249" t="s">
        <v>2689</v>
      </c>
      <c r="D258" s="1250"/>
      <c r="E258" s="1248"/>
      <c r="F258" s="1251" t="s">
        <v>2690</v>
      </c>
      <c r="G258" s="1252">
        <f t="shared" ref="G258:N258" si="138">+G84</f>
        <v>16.600000000000001</v>
      </c>
      <c r="H258" s="1252">
        <f t="shared" si="138"/>
        <v>11</v>
      </c>
      <c r="I258" s="1252">
        <f t="shared" si="138"/>
        <v>16.600000000000001</v>
      </c>
      <c r="J258" s="1252">
        <f t="shared" si="138"/>
        <v>0</v>
      </c>
      <c r="K258" s="1252">
        <f t="shared" si="138"/>
        <v>0</v>
      </c>
      <c r="L258" s="1252">
        <f t="shared" si="138"/>
        <v>0</v>
      </c>
      <c r="M258" s="1252">
        <f t="shared" si="138"/>
        <v>0</v>
      </c>
      <c r="N258" s="1253">
        <f t="shared" si="138"/>
        <v>0</v>
      </c>
    </row>
    <row r="259" spans="1:14" s="896" customFormat="1" ht="15" hidden="1" customHeight="1">
      <c r="A259" s="2651"/>
      <c r="B259" s="2654" t="s">
        <v>2691</v>
      </c>
      <c r="C259" s="1254" t="s">
        <v>2692</v>
      </c>
      <c r="D259" s="1063"/>
      <c r="E259" s="1255"/>
      <c r="F259" s="1256" t="s">
        <v>2693</v>
      </c>
      <c r="G259" s="1257">
        <f>IF($F141&lt;=10000000,ROUND(7.56*(10000^-0.1105)*(G258^0.2389),2),ROUND(7.56*(($F141/1000)^-0.1105)*(G258^0.2389),2))</f>
        <v>3.85</v>
      </c>
      <c r="H259" s="1257">
        <f>IF($F141&lt;=10000000,ROUND(7.56*(10000^-0.1105)*(H258^0.2389),2),ROUND(7.56*(($F141/1000)^-0.1105)*(H258^0.2389),2))</f>
        <v>3.49</v>
      </c>
      <c r="I259" s="1257">
        <f t="shared" ref="I259:N259" si="139">IF($F141&lt;=10000000,ROUND(7.56*(10000^-0.1105)*(I258^0.2389),2),ROUND(7.56*(($F141/1000)^-0.1105)*(I258^0.2389),2))</f>
        <v>3.85</v>
      </c>
      <c r="J259" s="1257">
        <f t="shared" si="139"/>
        <v>0</v>
      </c>
      <c r="K259" s="1257">
        <f t="shared" si="139"/>
        <v>0</v>
      </c>
      <c r="L259" s="1257">
        <f t="shared" si="139"/>
        <v>0</v>
      </c>
      <c r="M259" s="1257">
        <f t="shared" si="139"/>
        <v>0</v>
      </c>
      <c r="N259" s="1257">
        <f t="shared" si="139"/>
        <v>0</v>
      </c>
    </row>
    <row r="260" spans="1:14" s="896" customFormat="1" ht="15" hidden="1" customHeight="1">
      <c r="A260" s="2652"/>
      <c r="B260" s="2655"/>
      <c r="C260" s="2657" t="s">
        <v>2694</v>
      </c>
      <c r="D260" s="1133"/>
      <c r="E260" s="1258"/>
      <c r="F260" s="1256" t="s">
        <v>2695</v>
      </c>
      <c r="G260" s="1259">
        <f>IF($F141&lt;=10000000,ROUND(4.33,2),0)</f>
        <v>0</v>
      </c>
      <c r="H260" s="1259">
        <f t="shared" ref="H260:N260" si="140">IF($F141&lt;=10000000,ROUND(4.33,2),0)</f>
        <v>0</v>
      </c>
      <c r="I260" s="1259">
        <f t="shared" si="140"/>
        <v>0</v>
      </c>
      <c r="J260" s="1259">
        <f t="shared" si="140"/>
        <v>0</v>
      </c>
      <c r="K260" s="1259">
        <f t="shared" si="140"/>
        <v>0</v>
      </c>
      <c r="L260" s="1259">
        <f t="shared" si="140"/>
        <v>0</v>
      </c>
      <c r="M260" s="1259">
        <f t="shared" si="140"/>
        <v>0</v>
      </c>
      <c r="N260" s="1259">
        <f t="shared" si="140"/>
        <v>0</v>
      </c>
    </row>
    <row r="261" spans="1:14" s="896" customFormat="1" ht="15" hidden="1" customHeight="1">
      <c r="A261" s="2652"/>
      <c r="B261" s="2655"/>
      <c r="C261" s="2658"/>
      <c r="D261" s="1260"/>
      <c r="E261" s="1261"/>
      <c r="F261" s="1256" t="s">
        <v>2696</v>
      </c>
      <c r="G261" s="1259">
        <f>IF($F141&lt;=10000000,ROUND(3.25,2),0)</f>
        <v>0</v>
      </c>
      <c r="H261" s="1259">
        <f t="shared" ref="H261:N261" si="141">IF($F141&lt;=10000000,ROUND(3.25,2),0)</f>
        <v>0</v>
      </c>
      <c r="I261" s="1259">
        <f t="shared" si="141"/>
        <v>0</v>
      </c>
      <c r="J261" s="1259">
        <f t="shared" si="141"/>
        <v>0</v>
      </c>
      <c r="K261" s="1259">
        <f t="shared" si="141"/>
        <v>0</v>
      </c>
      <c r="L261" s="1259">
        <f t="shared" si="141"/>
        <v>0</v>
      </c>
      <c r="M261" s="1259">
        <f t="shared" si="141"/>
        <v>0</v>
      </c>
      <c r="N261" s="1259">
        <f t="shared" si="141"/>
        <v>0</v>
      </c>
    </row>
    <row r="262" spans="1:14" s="896" customFormat="1" ht="14.25" hidden="1" customHeight="1">
      <c r="A262" s="2652"/>
      <c r="B262" s="2655"/>
      <c r="C262" s="2657" t="s">
        <v>2697</v>
      </c>
      <c r="D262" s="1133"/>
      <c r="E262" s="1258"/>
      <c r="F262" s="1256" t="s">
        <v>2695</v>
      </c>
      <c r="G262" s="1262">
        <f>IF($F141&gt;10000000,ROUND(5.78*($F141/1000)^-0.0313,2),0)</f>
        <v>3.95</v>
      </c>
      <c r="H262" s="1262">
        <f t="shared" ref="H262:N262" si="142">IF($F141&gt;10000000,ROUND(5.78*($F141/1000)^-0.0313,2),0)</f>
        <v>3.95</v>
      </c>
      <c r="I262" s="1262">
        <f t="shared" si="142"/>
        <v>3.95</v>
      </c>
      <c r="J262" s="1262">
        <f t="shared" si="142"/>
        <v>3.95</v>
      </c>
      <c r="K262" s="1262">
        <f t="shared" si="142"/>
        <v>3.95</v>
      </c>
      <c r="L262" s="1262">
        <f t="shared" si="142"/>
        <v>3.95</v>
      </c>
      <c r="M262" s="1262">
        <f t="shared" si="142"/>
        <v>3.95</v>
      </c>
      <c r="N262" s="1262">
        <f t="shared" si="142"/>
        <v>3.95</v>
      </c>
    </row>
    <row r="263" spans="1:14" s="896" customFormat="1" ht="15" hidden="1" customHeight="1">
      <c r="A263" s="2653"/>
      <c r="B263" s="2656"/>
      <c r="C263" s="2658"/>
      <c r="D263" s="1260"/>
      <c r="E263" s="1261"/>
      <c r="F263" s="1256" t="s">
        <v>2696</v>
      </c>
      <c r="G263" s="1262">
        <f>IF($F141&gt;10000000,ROUND(4.34*($F141/1000)^-0.0313,2),0)</f>
        <v>2.96</v>
      </c>
      <c r="H263" s="1262">
        <f t="shared" ref="H263:N263" si="143">IF($F141&gt;10000000,ROUND(4.34*($F141/1000)^-0.0313,2),0)</f>
        <v>2.96</v>
      </c>
      <c r="I263" s="1262">
        <f t="shared" si="143"/>
        <v>2.96</v>
      </c>
      <c r="J263" s="1262">
        <f t="shared" si="143"/>
        <v>2.96</v>
      </c>
      <c r="K263" s="1262">
        <f t="shared" si="143"/>
        <v>2.96</v>
      </c>
      <c r="L263" s="1262">
        <f t="shared" si="143"/>
        <v>2.96</v>
      </c>
      <c r="M263" s="1262">
        <f t="shared" si="143"/>
        <v>2.96</v>
      </c>
      <c r="N263" s="1262">
        <f t="shared" si="143"/>
        <v>2.96</v>
      </c>
    </row>
    <row r="264" spans="1:14" s="896" customFormat="1" ht="15" hidden="1" customHeight="1">
      <c r="A264" s="2645" t="s">
        <v>2698</v>
      </c>
      <c r="B264" s="2646"/>
      <c r="C264" s="2646"/>
      <c r="D264" s="2646"/>
      <c r="E264" s="2646"/>
      <c r="F264" s="2647"/>
      <c r="G264" s="1262">
        <f>IF($F141&lt;=10000000,IF(G$259&gt;G$260,G$260,IF(G$259&lt;G$261,G$261,G$259)),IF(G$259&gt;G$262,G$262,IF(G$259&lt;G$263,G$263,G$259)))</f>
        <v>3.85</v>
      </c>
      <c r="H264" s="1262">
        <f t="shared" ref="H264:N264" si="144">IF($F141&lt;=10000000,IF(H$259&gt;H$260,H$260,IF(H$259&lt;H$261,H$261,H$259)),IF(H$259&gt;H$262,H$262,IF(H$259&lt;H$263,H$263,H$259)))</f>
        <v>3.49</v>
      </c>
      <c r="I264" s="1262">
        <f t="shared" si="144"/>
        <v>3.85</v>
      </c>
      <c r="J264" s="1262">
        <f t="shared" si="144"/>
        <v>2.96</v>
      </c>
      <c r="K264" s="1262">
        <f t="shared" si="144"/>
        <v>2.96</v>
      </c>
      <c r="L264" s="1262">
        <f t="shared" si="144"/>
        <v>2.96</v>
      </c>
      <c r="M264" s="1262">
        <f t="shared" si="144"/>
        <v>2.96</v>
      </c>
      <c r="N264" s="1262">
        <f t="shared" si="144"/>
        <v>2.96</v>
      </c>
    </row>
    <row r="265" spans="1:14" s="896" customFormat="1" ht="15" hidden="1" customHeight="1" thickBot="1">
      <c r="A265" s="2648" t="s">
        <v>2699</v>
      </c>
      <c r="B265" s="2649"/>
      <c r="C265" s="2649"/>
      <c r="D265" s="2649"/>
      <c r="E265" s="2649"/>
      <c r="F265" s="2650"/>
      <c r="G265" s="1263">
        <f>ROUND(G264*IF(AND(G89="駅施設",G90="無し"),0.7,IF(AND(G89="駅施設",G90="有り"),0.7,IF(AND(G89="地上建物",G90="無し"),0.9,IF(AND(G89="地上建物",G90="有り"),1,0)))),2)</f>
        <v>2.7</v>
      </c>
      <c r="H265" s="1263">
        <f t="shared" ref="H265:N265" si="145">ROUND(H264*IF(AND(H89="駅施設",H90="無し"),0.7,IF(AND(H89="駅施設",H90="有り"),0.7,IF(AND(H89="地上建物",H90="無し"),0.9,IF(AND(H89="地上建物",H90="有り"),1,0)))),2)</f>
        <v>2.44</v>
      </c>
      <c r="I265" s="1263">
        <f t="shared" si="145"/>
        <v>2.7</v>
      </c>
      <c r="J265" s="1263">
        <f t="shared" si="145"/>
        <v>2.0699999999999998</v>
      </c>
      <c r="K265" s="1263">
        <f t="shared" si="145"/>
        <v>2.0699999999999998</v>
      </c>
      <c r="L265" s="1263">
        <f t="shared" si="145"/>
        <v>2.0699999999999998</v>
      </c>
      <c r="M265" s="1263">
        <f t="shared" si="145"/>
        <v>2.0699999999999998</v>
      </c>
      <c r="N265" s="1263">
        <f t="shared" si="145"/>
        <v>2.0699999999999998</v>
      </c>
    </row>
    <row r="266" spans="1:14" s="896" customFormat="1" ht="15" hidden="1" customHeight="1" thickBot="1">
      <c r="G266" s="1264"/>
      <c r="H266" s="1264"/>
      <c r="I266" s="1264"/>
      <c r="J266" s="1264"/>
      <c r="K266" s="1264"/>
      <c r="L266" s="1264"/>
      <c r="M266" s="1264"/>
      <c r="N266" s="1264"/>
    </row>
    <row r="267" spans="1:14" s="896" customFormat="1" ht="15" hidden="1" customHeight="1">
      <c r="A267" s="1247"/>
      <c r="B267" s="1248"/>
      <c r="C267" s="1249" t="s">
        <v>2689</v>
      </c>
      <c r="D267" s="1250"/>
      <c r="E267" s="1248"/>
      <c r="F267" s="1251" t="s">
        <v>2690</v>
      </c>
      <c r="G267" s="1252">
        <f t="shared" ref="G267:N267" si="146">+G84</f>
        <v>16.600000000000001</v>
      </c>
      <c r="H267" s="1252">
        <f t="shared" si="146"/>
        <v>11</v>
      </c>
      <c r="I267" s="1252">
        <f t="shared" si="146"/>
        <v>16.600000000000001</v>
      </c>
      <c r="J267" s="1252">
        <f t="shared" si="146"/>
        <v>0</v>
      </c>
      <c r="K267" s="1252">
        <f t="shared" si="146"/>
        <v>0</v>
      </c>
      <c r="L267" s="1252">
        <f t="shared" si="146"/>
        <v>0</v>
      </c>
      <c r="M267" s="1252">
        <f t="shared" si="146"/>
        <v>0</v>
      </c>
      <c r="N267" s="1253">
        <f t="shared" si="146"/>
        <v>0</v>
      </c>
    </row>
    <row r="268" spans="1:14" s="896" customFormat="1" ht="15" hidden="1" customHeight="1">
      <c r="A268" s="2651"/>
      <c r="B268" s="2654" t="s">
        <v>2700</v>
      </c>
      <c r="C268" s="1254" t="s">
        <v>2692</v>
      </c>
      <c r="D268" s="1063"/>
      <c r="E268" s="1255"/>
      <c r="F268" s="1256" t="s">
        <v>2701</v>
      </c>
      <c r="G268" s="1257">
        <f>IF($F141&lt;=5000000,ROUND(18.03*(5000^-0.2027)*(G267^0.4017),2),ROUND(18.03*(($F141/1000)^-0.2027)*(G267^0.4017),2))</f>
        <v>4.71</v>
      </c>
      <c r="H268" s="1257">
        <f t="shared" ref="H268:N268" si="147">IF($F141&lt;=5000000,ROUND(18.03*(5000^-0.2027)*(H267^0.4017),2),ROUND(18.03*(($F141/1000)^-0.2027)*(H267^0.4017),2))</f>
        <v>3.99</v>
      </c>
      <c r="I268" s="1257">
        <f t="shared" si="147"/>
        <v>4.71</v>
      </c>
      <c r="J268" s="1257">
        <f t="shared" si="147"/>
        <v>0</v>
      </c>
      <c r="K268" s="1257">
        <f t="shared" si="147"/>
        <v>0</v>
      </c>
      <c r="L268" s="1257">
        <f t="shared" si="147"/>
        <v>0</v>
      </c>
      <c r="M268" s="1257">
        <f t="shared" si="147"/>
        <v>0</v>
      </c>
      <c r="N268" s="1257">
        <f t="shared" si="147"/>
        <v>0</v>
      </c>
    </row>
    <row r="269" spans="1:14" s="896" customFormat="1" ht="15" hidden="1" customHeight="1">
      <c r="A269" s="2652"/>
      <c r="B269" s="2655"/>
      <c r="C269" s="2657" t="s">
        <v>2702</v>
      </c>
      <c r="D269" s="1133"/>
      <c r="E269" s="1258"/>
      <c r="F269" s="1256" t="s">
        <v>2695</v>
      </c>
      <c r="G269" s="1259">
        <f>IF($F141&lt;=5000000,ROUND(6.07,2),0)</f>
        <v>0</v>
      </c>
      <c r="H269" s="1259">
        <f t="shared" ref="H269:N269" si="148">IF($F141&lt;=5000000,ROUND(6.07,2),0)</f>
        <v>0</v>
      </c>
      <c r="I269" s="1259">
        <f t="shared" si="148"/>
        <v>0</v>
      </c>
      <c r="J269" s="1259">
        <f t="shared" si="148"/>
        <v>0</v>
      </c>
      <c r="K269" s="1259">
        <f t="shared" si="148"/>
        <v>0</v>
      </c>
      <c r="L269" s="1259">
        <f t="shared" si="148"/>
        <v>0</v>
      </c>
      <c r="M269" s="1259">
        <f t="shared" si="148"/>
        <v>0</v>
      </c>
      <c r="N269" s="1259">
        <f t="shared" si="148"/>
        <v>0</v>
      </c>
    </row>
    <row r="270" spans="1:14" s="896" customFormat="1" ht="15" hidden="1" customHeight="1">
      <c r="A270" s="2652"/>
      <c r="B270" s="2655"/>
      <c r="C270" s="2658"/>
      <c r="D270" s="1260"/>
      <c r="E270" s="1261"/>
      <c r="F270" s="1256" t="s">
        <v>2696</v>
      </c>
      <c r="G270" s="1259">
        <f>IF($F141&lt;=5000000,ROUND(3.59,2),0)</f>
        <v>0</v>
      </c>
      <c r="H270" s="1259">
        <f t="shared" ref="H270:N270" si="149">IF($F141&lt;=5000000,ROUND(3.59,2),0)</f>
        <v>0</v>
      </c>
      <c r="I270" s="1259">
        <f t="shared" si="149"/>
        <v>0</v>
      </c>
      <c r="J270" s="1259">
        <f t="shared" si="149"/>
        <v>0</v>
      </c>
      <c r="K270" s="1259">
        <f t="shared" si="149"/>
        <v>0</v>
      </c>
      <c r="L270" s="1259">
        <f t="shared" si="149"/>
        <v>0</v>
      </c>
      <c r="M270" s="1259">
        <f t="shared" si="149"/>
        <v>0</v>
      </c>
      <c r="N270" s="1259">
        <f t="shared" si="149"/>
        <v>0</v>
      </c>
    </row>
    <row r="271" spans="1:14" s="896" customFormat="1" ht="15" hidden="1" customHeight="1">
      <c r="A271" s="2652"/>
      <c r="B271" s="2655"/>
      <c r="C271" s="2657" t="s">
        <v>2703</v>
      </c>
      <c r="D271" s="1133"/>
      <c r="E271" s="1258"/>
      <c r="F271" s="1256" t="s">
        <v>2695</v>
      </c>
      <c r="G271" s="1262">
        <f>IF($F141&gt;5000000,ROUND(11.74*($F141/1000)^-0.0774,2),0)</f>
        <v>4.57</v>
      </c>
      <c r="H271" s="1262">
        <f t="shared" ref="H271:N271" si="150">IF($F141&gt;5000000,ROUND(11.74*($F141/1000)^-0.0774,2),0)</f>
        <v>4.57</v>
      </c>
      <c r="I271" s="1262">
        <f t="shared" si="150"/>
        <v>4.57</v>
      </c>
      <c r="J271" s="1262">
        <f t="shared" si="150"/>
        <v>4.57</v>
      </c>
      <c r="K271" s="1262">
        <f t="shared" si="150"/>
        <v>4.57</v>
      </c>
      <c r="L271" s="1262">
        <f t="shared" si="150"/>
        <v>4.57</v>
      </c>
      <c r="M271" s="1262">
        <f t="shared" si="150"/>
        <v>4.57</v>
      </c>
      <c r="N271" s="1262">
        <f t="shared" si="150"/>
        <v>4.57</v>
      </c>
    </row>
    <row r="272" spans="1:14" s="896" customFormat="1" ht="15" hidden="1" customHeight="1">
      <c r="A272" s="2653"/>
      <c r="B272" s="2656"/>
      <c r="C272" s="2658"/>
      <c r="D272" s="1260"/>
      <c r="E272" s="1261"/>
      <c r="F272" s="1256" t="s">
        <v>2696</v>
      </c>
      <c r="G272" s="1262">
        <f>IF($F141&gt;5000000,ROUND(6.94*($F141/1000)^-0.0774,2),0)</f>
        <v>2.7</v>
      </c>
      <c r="H272" s="1262">
        <f t="shared" ref="H272:N272" si="151">IF($F141&gt;5000000,ROUND(6.94*($F141/1000)^-0.0774,2),0)</f>
        <v>2.7</v>
      </c>
      <c r="I272" s="1262">
        <f t="shared" si="151"/>
        <v>2.7</v>
      </c>
      <c r="J272" s="1262">
        <f t="shared" si="151"/>
        <v>2.7</v>
      </c>
      <c r="K272" s="1262">
        <f t="shared" si="151"/>
        <v>2.7</v>
      </c>
      <c r="L272" s="1262">
        <f t="shared" si="151"/>
        <v>2.7</v>
      </c>
      <c r="M272" s="1262">
        <f t="shared" si="151"/>
        <v>2.7</v>
      </c>
      <c r="N272" s="1262">
        <f t="shared" si="151"/>
        <v>2.7</v>
      </c>
    </row>
    <row r="273" spans="1:14" s="896" customFormat="1" ht="15" hidden="1" customHeight="1">
      <c r="A273" s="2645" t="s">
        <v>2698</v>
      </c>
      <c r="B273" s="2646"/>
      <c r="C273" s="2646"/>
      <c r="D273" s="2646"/>
      <c r="E273" s="2646"/>
      <c r="F273" s="2647"/>
      <c r="G273" s="1265">
        <f>IF($F141&lt;=5000000,IF(G$268&gt;G$269,G$269,IF(G$268&lt;G$270,G$270,G$268)),IF(G$268&gt;G$271,G$271,IF(G$268&lt;G$272,G$272,G$268)))</f>
        <v>4.57</v>
      </c>
      <c r="H273" s="1265">
        <f t="shared" ref="H273:N273" si="152">IF($F141&lt;=5000000,IF(H$268&gt;H$269,H$269,IF(H$268&lt;H$270,H$270,H$268)),IF(H$268&gt;H$271,H$271,IF(H$268&lt;H$272,H$272,H$268)))</f>
        <v>3.99</v>
      </c>
      <c r="I273" s="1265">
        <f t="shared" si="152"/>
        <v>4.57</v>
      </c>
      <c r="J273" s="1265">
        <f t="shared" si="152"/>
        <v>2.7</v>
      </c>
      <c r="K273" s="1265">
        <f t="shared" si="152"/>
        <v>2.7</v>
      </c>
      <c r="L273" s="1265">
        <f t="shared" si="152"/>
        <v>2.7</v>
      </c>
      <c r="M273" s="1265">
        <f t="shared" si="152"/>
        <v>2.7</v>
      </c>
      <c r="N273" s="1265">
        <f t="shared" si="152"/>
        <v>2.7</v>
      </c>
    </row>
    <row r="274" spans="1:14" s="896" customFormat="1" ht="15" hidden="1" customHeight="1" thickBot="1">
      <c r="A274" s="2648" t="s">
        <v>2699</v>
      </c>
      <c r="B274" s="2649"/>
      <c r="C274" s="2649"/>
      <c r="D274" s="2649"/>
      <c r="E274" s="2649"/>
      <c r="F274" s="2650"/>
      <c r="G274" s="1263">
        <f>ROUND(G273*IF(AND(G89="駅施設",G90="無し"),0.7,IF(AND(G89="駅施設",G90="有り"),0.7,IF(AND(G89="地上建物",G90="無し"),0.9,IF(AND(G89="地上建物",G90="有り"),1,0)))),2)</f>
        <v>3.2</v>
      </c>
      <c r="H274" s="1263">
        <f t="shared" ref="H274:N274" si="153">ROUND(H273*IF(AND(H89="駅施設",H90="無し"),0.7,IF(AND(H89="駅施設",H90="有り"),0.7,IF(AND(H89="地上建物",H90="無し"),0.9,IF(AND(H89="地上建物",H90="有り"),1,0)))),2)</f>
        <v>2.79</v>
      </c>
      <c r="I274" s="1263">
        <f t="shared" si="153"/>
        <v>3.2</v>
      </c>
      <c r="J274" s="1263">
        <f t="shared" si="153"/>
        <v>1.89</v>
      </c>
      <c r="K274" s="1263">
        <f t="shared" si="153"/>
        <v>1.89</v>
      </c>
      <c r="L274" s="1263">
        <f t="shared" si="153"/>
        <v>1.89</v>
      </c>
      <c r="M274" s="1263">
        <f t="shared" si="153"/>
        <v>1.89</v>
      </c>
      <c r="N274" s="1263">
        <f t="shared" si="153"/>
        <v>1.89</v>
      </c>
    </row>
    <row r="275" spans="1:14" s="896" customFormat="1" ht="15" hidden="1" customHeight="1" thickBot="1">
      <c r="G275" s="1246"/>
      <c r="H275" s="1246"/>
      <c r="I275" s="1246"/>
      <c r="J275" s="1246"/>
      <c r="K275" s="1246"/>
      <c r="L275" s="1246"/>
      <c r="M275" s="1246"/>
      <c r="N275" s="1246"/>
    </row>
    <row r="276" spans="1:14" s="896" customFormat="1" ht="15" hidden="1" customHeight="1">
      <c r="A276" s="1247"/>
      <c r="B276" s="1248"/>
      <c r="C276" s="1249" t="s">
        <v>2704</v>
      </c>
      <c r="D276" s="1250"/>
      <c r="E276" s="1248"/>
      <c r="F276" s="1251" t="s">
        <v>2690</v>
      </c>
      <c r="G276" s="1252">
        <f>+G284</f>
        <v>16.600000000000001</v>
      </c>
      <c r="H276" s="1252">
        <f t="shared" ref="H276:N276" si="154">+H284</f>
        <v>11</v>
      </c>
      <c r="I276" s="1252">
        <f t="shared" si="154"/>
        <v>16.600000000000001</v>
      </c>
      <c r="J276" s="1252">
        <f t="shared" si="154"/>
        <v>0</v>
      </c>
      <c r="K276" s="1252">
        <f>+K284</f>
        <v>0</v>
      </c>
      <c r="L276" s="1252">
        <f t="shared" si="154"/>
        <v>0</v>
      </c>
      <c r="M276" s="1252">
        <f t="shared" si="154"/>
        <v>0</v>
      </c>
      <c r="N276" s="1253">
        <f t="shared" si="154"/>
        <v>0</v>
      </c>
    </row>
    <row r="277" spans="1:14" s="896" customFormat="1" ht="15" hidden="1" customHeight="1">
      <c r="A277" s="2651"/>
      <c r="B277" s="2654" t="s">
        <v>2691</v>
      </c>
      <c r="C277" s="1254" t="s">
        <v>2705</v>
      </c>
      <c r="D277" s="1063"/>
      <c r="E277" s="1255"/>
      <c r="F277" s="1256" t="s">
        <v>2706</v>
      </c>
      <c r="G277" s="1257">
        <f>IF($F180&lt;=10000000,ROUND(151.08*((10000)^-0.3396)*(G276^0.586),2),ROUND(151.08*(($F180/1000)^-0.3396)*(G276^0.586),2))</f>
        <v>12.17</v>
      </c>
      <c r="H277" s="1257">
        <f t="shared" ref="H277:N277" si="155">IF($F180&lt;=10000000,ROUND(151.08*((10000)^-0.3396)*(H276^0.586),2),ROUND(151.08*(($F180/1000)^-0.3396)*(H276^0.586),2))</f>
        <v>9.56</v>
      </c>
      <c r="I277" s="1257">
        <f t="shared" si="155"/>
        <v>12.17</v>
      </c>
      <c r="J277" s="1257">
        <f t="shared" si="155"/>
        <v>0</v>
      </c>
      <c r="K277" s="1257">
        <f t="shared" si="155"/>
        <v>0</v>
      </c>
      <c r="L277" s="1257">
        <f t="shared" si="155"/>
        <v>0</v>
      </c>
      <c r="M277" s="1257">
        <f t="shared" si="155"/>
        <v>0</v>
      </c>
      <c r="N277" s="1257">
        <f t="shared" si="155"/>
        <v>0</v>
      </c>
    </row>
    <row r="278" spans="1:14" s="896" customFormat="1" ht="15" hidden="1" customHeight="1">
      <c r="A278" s="2652"/>
      <c r="B278" s="2655"/>
      <c r="C278" s="2657" t="s">
        <v>2707</v>
      </c>
      <c r="D278" s="1133"/>
      <c r="E278" s="1258"/>
      <c r="F278" s="1256" t="s">
        <v>2695</v>
      </c>
      <c r="G278" s="1259">
        <f>IF($F180&lt;=10000000,ROUND(20.13,2),0)</f>
        <v>0</v>
      </c>
      <c r="H278" s="1259">
        <f t="shared" ref="H278:N278" si="156">IF($F180&lt;=10000000,ROUND(20.13,2),0)</f>
        <v>0</v>
      </c>
      <c r="I278" s="1259">
        <f t="shared" si="156"/>
        <v>0</v>
      </c>
      <c r="J278" s="1259">
        <f t="shared" si="156"/>
        <v>0</v>
      </c>
      <c r="K278" s="1259">
        <f t="shared" si="156"/>
        <v>0</v>
      </c>
      <c r="L278" s="1259">
        <f t="shared" si="156"/>
        <v>0</v>
      </c>
      <c r="M278" s="1259">
        <f t="shared" si="156"/>
        <v>0</v>
      </c>
      <c r="N278" s="1259">
        <f t="shared" si="156"/>
        <v>0</v>
      </c>
    </row>
    <row r="279" spans="1:14" s="896" customFormat="1" ht="15" hidden="1" customHeight="1">
      <c r="A279" s="2652"/>
      <c r="B279" s="2655"/>
      <c r="C279" s="2658"/>
      <c r="D279" s="1260"/>
      <c r="E279" s="1261"/>
      <c r="F279" s="1256" t="s">
        <v>2696</v>
      </c>
      <c r="G279" s="1259">
        <f>IF($F180&lt;=10000000,ROUND(10.01,2),0)</f>
        <v>0</v>
      </c>
      <c r="H279" s="1259">
        <f t="shared" ref="H279:N279" si="157">IF($F180&lt;=10000000,ROUND(10.01,2),0)</f>
        <v>0</v>
      </c>
      <c r="I279" s="1259">
        <f t="shared" si="157"/>
        <v>0</v>
      </c>
      <c r="J279" s="1259">
        <f t="shared" si="157"/>
        <v>0</v>
      </c>
      <c r="K279" s="1259">
        <f t="shared" si="157"/>
        <v>0</v>
      </c>
      <c r="L279" s="1259">
        <f t="shared" si="157"/>
        <v>0</v>
      </c>
      <c r="M279" s="1259">
        <f t="shared" si="157"/>
        <v>0</v>
      </c>
      <c r="N279" s="1259">
        <f t="shared" si="157"/>
        <v>0</v>
      </c>
    </row>
    <row r="280" spans="1:14" s="896" customFormat="1" ht="15" hidden="1" customHeight="1">
      <c r="A280" s="2652"/>
      <c r="B280" s="2655"/>
      <c r="C280" s="2657" t="s">
        <v>2708</v>
      </c>
      <c r="D280" s="1133"/>
      <c r="E280" s="1258"/>
      <c r="F280" s="1256" t="s">
        <v>2695</v>
      </c>
      <c r="G280" s="1262">
        <f>IF($F180&gt;10000000,ROUND(75.97*($F180/1000)^-0.1442,2),0)</f>
        <v>12.96</v>
      </c>
      <c r="H280" s="1262">
        <f t="shared" ref="H280:N280" si="158">IF($F180&gt;10000000,ROUND(75.97*($F180/1000)^-0.1442,2),0)</f>
        <v>12.96</v>
      </c>
      <c r="I280" s="1262">
        <f t="shared" si="158"/>
        <v>12.96</v>
      </c>
      <c r="J280" s="1262">
        <f t="shared" si="158"/>
        <v>12.96</v>
      </c>
      <c r="K280" s="1262">
        <f t="shared" si="158"/>
        <v>12.96</v>
      </c>
      <c r="L280" s="1262">
        <f t="shared" si="158"/>
        <v>12.96</v>
      </c>
      <c r="M280" s="1262">
        <f t="shared" si="158"/>
        <v>12.96</v>
      </c>
      <c r="N280" s="1262">
        <f t="shared" si="158"/>
        <v>12.96</v>
      </c>
    </row>
    <row r="281" spans="1:14" s="896" customFormat="1" ht="15" hidden="1" customHeight="1">
      <c r="A281" s="2653"/>
      <c r="B281" s="2656"/>
      <c r="C281" s="2658"/>
      <c r="D281" s="1260"/>
      <c r="E281" s="1261"/>
      <c r="F281" s="1256" t="s">
        <v>2696</v>
      </c>
      <c r="G281" s="1262">
        <f>IF($F180&gt;10000000,ROUND(37.76*($F180/1000)^-0.1442,2),0)</f>
        <v>6.44</v>
      </c>
      <c r="H281" s="1262">
        <f t="shared" ref="H281:N281" si="159">IF($F180&gt;10000000,ROUND(37.76*($F180/1000)^-0.1442,2),0)</f>
        <v>6.44</v>
      </c>
      <c r="I281" s="1262">
        <f t="shared" si="159"/>
        <v>6.44</v>
      </c>
      <c r="J281" s="1262">
        <f t="shared" si="159"/>
        <v>6.44</v>
      </c>
      <c r="K281" s="1262">
        <f t="shared" si="159"/>
        <v>6.44</v>
      </c>
      <c r="L281" s="1262">
        <f t="shared" si="159"/>
        <v>6.44</v>
      </c>
      <c r="M281" s="1262">
        <f t="shared" si="159"/>
        <v>6.44</v>
      </c>
      <c r="N281" s="1262">
        <f t="shared" si="159"/>
        <v>6.44</v>
      </c>
    </row>
    <row r="282" spans="1:14" s="896" customFormat="1" ht="15" hidden="1" customHeight="1" thickBot="1">
      <c r="A282" s="2660" t="s">
        <v>2709</v>
      </c>
      <c r="B282" s="2661"/>
      <c r="C282" s="2661"/>
      <c r="D282" s="2661"/>
      <c r="E282" s="1266"/>
      <c r="F282" s="1267"/>
      <c r="G282" s="1268">
        <f>IF($F180&lt;=10000000,IF(G$277&gt;G$278,G$278,IF(G$277&lt;G$279,G$279,G$277)),IF(G$277&gt;G$280,G$280,IF(G$277&lt;G$281,G$281,G$277)))</f>
        <v>12.17</v>
      </c>
      <c r="H282" s="1268">
        <f t="shared" ref="H282:N282" si="160">IF($F180&lt;=10000000,IF(H$277&gt;H$278,H$278,IF(H$277&lt;H$279,H$279,H$277)),IF(H$277&gt;H$280,H$280,IF(H$277&lt;H$281,H$281,H$277)))</f>
        <v>9.56</v>
      </c>
      <c r="I282" s="1268">
        <f t="shared" si="160"/>
        <v>12.17</v>
      </c>
      <c r="J282" s="1268">
        <f t="shared" si="160"/>
        <v>6.44</v>
      </c>
      <c r="K282" s="1268">
        <f t="shared" si="160"/>
        <v>6.44</v>
      </c>
      <c r="L282" s="1268">
        <f t="shared" si="160"/>
        <v>6.44</v>
      </c>
      <c r="M282" s="1268">
        <f t="shared" si="160"/>
        <v>6.44</v>
      </c>
      <c r="N282" s="1268">
        <f t="shared" si="160"/>
        <v>6.44</v>
      </c>
    </row>
    <row r="283" spans="1:14" s="896" customFormat="1" ht="15" hidden="1" customHeight="1" thickBot="1">
      <c r="G283" s="1264"/>
      <c r="H283" s="1264"/>
      <c r="I283" s="1264"/>
      <c r="J283" s="1264"/>
      <c r="K283" s="1264"/>
      <c r="L283" s="1264"/>
      <c r="M283" s="1264"/>
      <c r="N283" s="1264"/>
    </row>
    <row r="284" spans="1:14" s="896" customFormat="1" ht="15" hidden="1" customHeight="1">
      <c r="A284" s="1247"/>
      <c r="B284" s="1248"/>
      <c r="C284" s="1249" t="s">
        <v>2704</v>
      </c>
      <c r="D284" s="1250"/>
      <c r="E284" s="1248"/>
      <c r="F284" s="1251" t="s">
        <v>2690</v>
      </c>
      <c r="G284" s="1252">
        <f t="shared" ref="G284:N284" si="161">+G84</f>
        <v>16.600000000000001</v>
      </c>
      <c r="H284" s="1252">
        <f t="shared" si="161"/>
        <v>11</v>
      </c>
      <c r="I284" s="1252">
        <f t="shared" si="161"/>
        <v>16.600000000000001</v>
      </c>
      <c r="J284" s="1252">
        <f t="shared" si="161"/>
        <v>0</v>
      </c>
      <c r="K284" s="1252">
        <f t="shared" si="161"/>
        <v>0</v>
      </c>
      <c r="L284" s="1252">
        <f t="shared" si="161"/>
        <v>0</v>
      </c>
      <c r="M284" s="1252">
        <f t="shared" si="161"/>
        <v>0</v>
      </c>
      <c r="N284" s="1253">
        <f t="shared" si="161"/>
        <v>0</v>
      </c>
    </row>
    <row r="285" spans="1:14" s="896" customFormat="1" ht="15" hidden="1" customHeight="1">
      <c r="A285" s="2651"/>
      <c r="B285" s="2654" t="s">
        <v>2700</v>
      </c>
      <c r="C285" s="1254" t="s">
        <v>2705</v>
      </c>
      <c r="D285" s="1063"/>
      <c r="E285" s="1255"/>
      <c r="F285" s="1256" t="s">
        <v>2706</v>
      </c>
      <c r="G285" s="1257">
        <f>IF($F180&lt;=5000000,ROUND(356.2*((5000)^-0.4085)*(G284^0.5766),2),ROUND(356.2*(($F180/1000)^-0.4085)*(G284^0.5766),2))</f>
        <v>12</v>
      </c>
      <c r="H285" s="1257">
        <f t="shared" ref="H285:N285" si="162">IF($F180&lt;=5000000,ROUND(356.2*((5000)^-0.4085)*(H284^0.5766),2),ROUND(356.2*(($F180/1000)^-0.4085)*(H284^0.5766),2))</f>
        <v>9.4700000000000006</v>
      </c>
      <c r="I285" s="1257">
        <f t="shared" si="162"/>
        <v>12</v>
      </c>
      <c r="J285" s="1257">
        <f t="shared" si="162"/>
        <v>0</v>
      </c>
      <c r="K285" s="1257">
        <f t="shared" si="162"/>
        <v>0</v>
      </c>
      <c r="L285" s="1257">
        <f t="shared" si="162"/>
        <v>0</v>
      </c>
      <c r="M285" s="1257">
        <f t="shared" si="162"/>
        <v>0</v>
      </c>
      <c r="N285" s="1257">
        <f t="shared" si="162"/>
        <v>0</v>
      </c>
    </row>
    <row r="286" spans="1:14" s="896" customFormat="1" ht="15" hidden="1" customHeight="1">
      <c r="A286" s="2652"/>
      <c r="B286" s="2655"/>
      <c r="C286" s="2657" t="s">
        <v>2710</v>
      </c>
      <c r="D286" s="1133"/>
      <c r="E286" s="1258"/>
      <c r="F286" s="1256" t="s">
        <v>2695</v>
      </c>
      <c r="G286" s="1259">
        <f>IF($F180&lt;=5000000,ROUND(26.86,2),0)</f>
        <v>0</v>
      </c>
      <c r="H286" s="1259">
        <f t="shared" ref="H286:N286" si="163">IF($F180&lt;=5000000,ROUND(26.86,2),0)</f>
        <v>0</v>
      </c>
      <c r="I286" s="1259">
        <f t="shared" si="163"/>
        <v>0</v>
      </c>
      <c r="J286" s="1259">
        <f t="shared" si="163"/>
        <v>0</v>
      </c>
      <c r="K286" s="1259">
        <f t="shared" si="163"/>
        <v>0</v>
      </c>
      <c r="L286" s="1259">
        <f t="shared" si="163"/>
        <v>0</v>
      </c>
      <c r="M286" s="1259">
        <f t="shared" si="163"/>
        <v>0</v>
      </c>
      <c r="N286" s="1259">
        <f t="shared" si="163"/>
        <v>0</v>
      </c>
    </row>
    <row r="287" spans="1:14" s="896" customFormat="1" ht="15" hidden="1" customHeight="1">
      <c r="A287" s="2652"/>
      <c r="B287" s="2655"/>
      <c r="C287" s="2658"/>
      <c r="D287" s="1260"/>
      <c r="E287" s="1261"/>
      <c r="F287" s="1256" t="s">
        <v>2696</v>
      </c>
      <c r="G287" s="1259">
        <f>IF($F180&lt;=5000000,ROUND(12.7,2),0)</f>
        <v>0</v>
      </c>
      <c r="H287" s="1259">
        <f t="shared" ref="H287:N287" si="164">IF($F180&lt;=5000000,ROUND(12.7,2),0)</f>
        <v>0</v>
      </c>
      <c r="I287" s="1259">
        <f t="shared" si="164"/>
        <v>0</v>
      </c>
      <c r="J287" s="1259">
        <f t="shared" si="164"/>
        <v>0</v>
      </c>
      <c r="K287" s="1259">
        <f t="shared" si="164"/>
        <v>0</v>
      </c>
      <c r="L287" s="1259">
        <f t="shared" si="164"/>
        <v>0</v>
      </c>
      <c r="M287" s="1259">
        <f t="shared" si="164"/>
        <v>0</v>
      </c>
      <c r="N287" s="1259">
        <f t="shared" si="164"/>
        <v>0</v>
      </c>
    </row>
    <row r="288" spans="1:14" s="896" customFormat="1" ht="15" hidden="1" customHeight="1">
      <c r="A288" s="2652"/>
      <c r="B288" s="2655"/>
      <c r="C288" s="2657" t="s">
        <v>2711</v>
      </c>
      <c r="D288" s="1133"/>
      <c r="E288" s="1258"/>
      <c r="F288" s="1256" t="s">
        <v>2695</v>
      </c>
      <c r="G288" s="1262">
        <f>IF($F180&gt;5000000,ROUND(184.58*($F180/1000)^-0.2263,2),0)</f>
        <v>11.5</v>
      </c>
      <c r="H288" s="1262">
        <f t="shared" ref="H288:N288" si="165">IF($F180&gt;5000000,ROUND(184.58*($F180/1000)^-0.2263,2),0)</f>
        <v>11.5</v>
      </c>
      <c r="I288" s="1262">
        <f t="shared" si="165"/>
        <v>11.5</v>
      </c>
      <c r="J288" s="1262">
        <f t="shared" si="165"/>
        <v>11.5</v>
      </c>
      <c r="K288" s="1262">
        <f t="shared" si="165"/>
        <v>11.5</v>
      </c>
      <c r="L288" s="1262">
        <f t="shared" si="165"/>
        <v>11.5</v>
      </c>
      <c r="M288" s="1262">
        <f t="shared" si="165"/>
        <v>11.5</v>
      </c>
      <c r="N288" s="1262">
        <f t="shared" si="165"/>
        <v>11.5</v>
      </c>
    </row>
    <row r="289" spans="1:14" s="896" customFormat="1" ht="15" hidden="1" customHeight="1">
      <c r="A289" s="2653"/>
      <c r="B289" s="2656"/>
      <c r="C289" s="2658"/>
      <c r="D289" s="1260"/>
      <c r="E289" s="1261"/>
      <c r="F289" s="1256" t="s">
        <v>2696</v>
      </c>
      <c r="G289" s="1262">
        <f>IF($F180&gt;5000000,ROUND(87.29*($F180/1000)^-0.2263,2),0)</f>
        <v>5.44</v>
      </c>
      <c r="H289" s="1262">
        <f t="shared" ref="H289:N289" si="166">IF($F180&gt;5000000,ROUND(87.29*($F180/1000)^-0.2263,2),0)</f>
        <v>5.44</v>
      </c>
      <c r="I289" s="1262">
        <f t="shared" si="166"/>
        <v>5.44</v>
      </c>
      <c r="J289" s="1262">
        <f t="shared" si="166"/>
        <v>5.44</v>
      </c>
      <c r="K289" s="1262">
        <f t="shared" si="166"/>
        <v>5.44</v>
      </c>
      <c r="L289" s="1262">
        <f t="shared" si="166"/>
        <v>5.44</v>
      </c>
      <c r="M289" s="1262">
        <f t="shared" si="166"/>
        <v>5.44</v>
      </c>
      <c r="N289" s="1262">
        <f t="shared" si="166"/>
        <v>5.44</v>
      </c>
    </row>
    <row r="290" spans="1:14" s="896" customFormat="1" ht="15" hidden="1" customHeight="1" thickBot="1">
      <c r="A290" s="2660" t="s">
        <v>2709</v>
      </c>
      <c r="B290" s="2661"/>
      <c r="C290" s="2661"/>
      <c r="D290" s="2661"/>
      <c r="E290" s="1269"/>
      <c r="F290" s="1267"/>
      <c r="G290" s="1270">
        <f>IF($F180&lt;=5000000,IF(G$285&gt;G$286,G$286,IF(G$285&lt;G$287,G$287,G$285)),IF(G$285&gt;G$288,G$288,IF(G$285&lt;G$289,G$289,G$285)))</f>
        <v>11.5</v>
      </c>
      <c r="H290" s="1270">
        <f t="shared" ref="H290:N290" si="167">IF($F180&lt;=5000000,IF(H$285&gt;H$286,H$286,IF(H$285&lt;H$287,H$287,H$285)),IF(H$285&gt;H$288,H$288,IF(H$285&lt;H$289,H$289,H$285)))</f>
        <v>9.4700000000000006</v>
      </c>
      <c r="I290" s="1270">
        <f t="shared" si="167"/>
        <v>11.5</v>
      </c>
      <c r="J290" s="1270">
        <f t="shared" si="167"/>
        <v>5.44</v>
      </c>
      <c r="K290" s="1270">
        <f t="shared" si="167"/>
        <v>5.44</v>
      </c>
      <c r="L290" s="1270">
        <f t="shared" si="167"/>
        <v>5.44</v>
      </c>
      <c r="M290" s="1270">
        <f t="shared" si="167"/>
        <v>5.44</v>
      </c>
      <c r="N290" s="1270">
        <f t="shared" si="167"/>
        <v>5.44</v>
      </c>
    </row>
    <row r="291" spans="1:14" s="896" customFormat="1" ht="15" hidden="1" customHeight="1" thickBot="1">
      <c r="G291" s="1246"/>
      <c r="H291" s="1246"/>
      <c r="I291" s="1246"/>
      <c r="J291" s="1246"/>
      <c r="K291" s="1246"/>
      <c r="L291" s="1246"/>
      <c r="M291" s="1246"/>
      <c r="N291" s="1246"/>
    </row>
    <row r="292" spans="1:14" s="896" customFormat="1" ht="15" hidden="1" customHeight="1">
      <c r="A292" s="1247"/>
      <c r="B292" s="1248"/>
      <c r="C292" s="1249" t="s">
        <v>2712</v>
      </c>
      <c r="D292" s="1250"/>
      <c r="E292" s="1248"/>
      <c r="F292" s="1251"/>
      <c r="G292" s="1271"/>
      <c r="H292" s="1272"/>
      <c r="I292" s="1273"/>
      <c r="J292" s="1273"/>
      <c r="K292" s="1273"/>
      <c r="L292" s="1273"/>
      <c r="M292" s="1273"/>
      <c r="N292" s="1273"/>
    </row>
    <row r="293" spans="1:14" s="896" customFormat="1" ht="14.25" hidden="1" customHeight="1">
      <c r="A293" s="2651"/>
      <c r="B293" s="2654" t="s">
        <v>79</v>
      </c>
      <c r="C293" s="1254" t="s">
        <v>2713</v>
      </c>
      <c r="D293" s="1063"/>
      <c r="E293" s="1255"/>
      <c r="F293" s="1256" t="s">
        <v>2714</v>
      </c>
      <c r="G293" s="1274">
        <f>ROUND(28.978-3.173*LOG($F224/1000),2)</f>
        <v>11.93</v>
      </c>
      <c r="H293" s="1275"/>
      <c r="I293" s="1276"/>
      <c r="J293" s="1276"/>
      <c r="K293" s="1276"/>
      <c r="L293" s="1276"/>
      <c r="M293" s="1276"/>
      <c r="N293" s="1276"/>
    </row>
    <row r="294" spans="1:14" s="896" customFormat="1" ht="14.25" hidden="1" customHeight="1">
      <c r="A294" s="2652"/>
      <c r="B294" s="2655"/>
      <c r="C294" s="1277" t="s">
        <v>2715</v>
      </c>
      <c r="D294" s="1133"/>
      <c r="E294" s="1133"/>
      <c r="F294" s="1278"/>
      <c r="G294" s="1279">
        <f>IF($F224&lt;=5000000,17.24,0)</f>
        <v>0</v>
      </c>
      <c r="H294" s="1280"/>
      <c r="I294" s="1281"/>
      <c r="J294" s="147"/>
      <c r="K294" s="1281"/>
      <c r="L294" s="1281"/>
      <c r="M294" s="1281"/>
      <c r="N294" s="1281"/>
    </row>
    <row r="295" spans="1:14" s="896" customFormat="1" ht="15" hidden="1" customHeight="1">
      <c r="A295" s="2653"/>
      <c r="B295" s="2656"/>
      <c r="C295" s="1277" t="s">
        <v>2716</v>
      </c>
      <c r="D295" s="1133"/>
      <c r="E295" s="1063"/>
      <c r="F295" s="1278"/>
      <c r="G295" s="1279">
        <f>IF($F224&gt;3000000000,8.43,0)</f>
        <v>0</v>
      </c>
      <c r="H295" s="1282"/>
      <c r="I295" s="1283"/>
      <c r="J295" s="1283"/>
      <c r="K295" s="1283"/>
      <c r="L295" s="1283"/>
      <c r="M295" s="1283"/>
      <c r="N295" s="1283"/>
    </row>
    <row r="296" spans="1:14" s="896" customFormat="1" ht="15" hidden="1" customHeight="1" thickBot="1">
      <c r="A296" s="2660" t="s">
        <v>2717</v>
      </c>
      <c r="B296" s="2661"/>
      <c r="C296" s="2661"/>
      <c r="D296" s="2661"/>
      <c r="E296" s="1269"/>
      <c r="F296" s="1267"/>
      <c r="G296" s="1284">
        <f>IF($F224&lt;=5000000,G294,IF($F224&gt;3000000000,G295,G293))</f>
        <v>11.93</v>
      </c>
      <c r="H296" s="1285"/>
      <c r="I296" s="1286"/>
      <c r="J296" s="1286"/>
      <c r="K296" s="1286"/>
      <c r="L296" s="1286"/>
      <c r="M296" s="1286"/>
      <c r="N296" s="1286"/>
    </row>
    <row r="297" spans="1:14" ht="15" customHeight="1"/>
    <row r="298" spans="1:14" s="885" customFormat="1" ht="15" customHeight="1">
      <c r="A298" s="1032"/>
      <c r="B298" s="1032"/>
      <c r="C298" s="1033"/>
      <c r="D298" s="1034"/>
      <c r="E298" s="1035" t="s">
        <v>2513</v>
      </c>
      <c r="F298" s="1036" t="str">
        <f>+F82</f>
        <v>イ）堺筋本町駅</v>
      </c>
      <c r="G298" s="1037"/>
      <c r="H298" s="1038"/>
      <c r="I298" s="1039"/>
      <c r="J298" s="844"/>
      <c r="K298" s="844"/>
      <c r="L298" s="844"/>
      <c r="M298" s="844"/>
      <c r="N298" s="845" t="s">
        <v>2718</v>
      </c>
    </row>
    <row r="299" spans="1:14" s="896" customFormat="1" ht="15" customHeight="1">
      <c r="A299" s="1040"/>
      <c r="B299" s="1040"/>
      <c r="C299" s="1041" t="s">
        <v>2719</v>
      </c>
      <c r="D299" s="808"/>
      <c r="E299" s="1042"/>
      <c r="F299" s="1043" t="s">
        <v>2598</v>
      </c>
      <c r="G299" s="1044" t="s">
        <v>2720</v>
      </c>
      <c r="H299" s="1045"/>
      <c r="J299" s="1046"/>
      <c r="K299" s="1046"/>
      <c r="L299" s="1046"/>
      <c r="M299" s="1043"/>
      <c r="N299" s="1047"/>
    </row>
    <row r="300" spans="1:14" s="885" customFormat="1" ht="15" customHeight="1">
      <c r="A300" s="877"/>
      <c r="B300" s="878"/>
      <c r="C300" s="879" t="s">
        <v>2522</v>
      </c>
      <c r="D300" s="880"/>
      <c r="E300" s="881"/>
      <c r="F300" s="882" t="s">
        <v>2600</v>
      </c>
      <c r="G300" s="883">
        <f t="shared" ref="G300:N300" si="168">+G8</f>
        <v>16.600000000000001</v>
      </c>
      <c r="H300" s="883">
        <f t="shared" si="168"/>
        <v>11</v>
      </c>
      <c r="I300" s="883">
        <f t="shared" si="168"/>
        <v>16.600000000000001</v>
      </c>
      <c r="J300" s="883">
        <f t="shared" si="168"/>
        <v>0</v>
      </c>
      <c r="K300" s="883">
        <f t="shared" si="168"/>
        <v>0</v>
      </c>
      <c r="L300" s="883">
        <f t="shared" si="168"/>
        <v>0</v>
      </c>
      <c r="M300" s="883">
        <f t="shared" si="168"/>
        <v>0</v>
      </c>
      <c r="N300" s="884">
        <f t="shared" si="168"/>
        <v>0</v>
      </c>
    </row>
    <row r="301" spans="1:14" s="885" customFormat="1" ht="15" customHeight="1">
      <c r="A301" s="1294"/>
      <c r="B301" s="1295"/>
      <c r="C301" s="888" t="s">
        <v>2524</v>
      </c>
      <c r="D301" s="889"/>
      <c r="E301" s="890"/>
      <c r="F301" s="891" t="s">
        <v>2601</v>
      </c>
      <c r="G301" s="1289" t="str">
        <f t="shared" ref="G301:N301" si="169">G85</f>
        <v>改修</v>
      </c>
      <c r="H301" s="1289" t="str">
        <f t="shared" si="169"/>
        <v>改修</v>
      </c>
      <c r="I301" s="1289" t="str">
        <f t="shared" si="169"/>
        <v>改修</v>
      </c>
      <c r="J301" s="1289">
        <f t="shared" si="169"/>
        <v>0</v>
      </c>
      <c r="K301" s="1289">
        <f t="shared" si="169"/>
        <v>0</v>
      </c>
      <c r="L301" s="1289">
        <f t="shared" si="169"/>
        <v>0</v>
      </c>
      <c r="M301" s="1289">
        <f t="shared" si="169"/>
        <v>0</v>
      </c>
      <c r="N301" s="1289">
        <f t="shared" si="169"/>
        <v>0</v>
      </c>
    </row>
    <row r="302" spans="1:14" s="896" customFormat="1" ht="15" customHeight="1">
      <c r="A302" s="1294"/>
      <c r="B302" s="1295"/>
      <c r="C302" s="1295" t="s">
        <v>2602</v>
      </c>
      <c r="D302" s="1295"/>
      <c r="E302" s="1190" t="str">
        <f>+E86</f>
        <v>無し</v>
      </c>
      <c r="F302" s="1053" t="s">
        <v>2517</v>
      </c>
      <c r="G302" s="1290" t="str">
        <f t="shared" ref="G302:N302" si="170">+G3</f>
        <v>工事6</v>
      </c>
      <c r="H302" s="1290" t="str">
        <f t="shared" si="170"/>
        <v>工事7</v>
      </c>
      <c r="I302" s="1290" t="str">
        <f t="shared" si="170"/>
        <v>工事8</v>
      </c>
      <c r="J302" s="1290">
        <f t="shared" si="170"/>
        <v>0</v>
      </c>
      <c r="K302" s="1290">
        <f t="shared" si="170"/>
        <v>0</v>
      </c>
      <c r="L302" s="1290">
        <f t="shared" si="170"/>
        <v>0</v>
      </c>
      <c r="M302" s="1290">
        <f t="shared" si="170"/>
        <v>0</v>
      </c>
      <c r="N302" s="1291">
        <f t="shared" si="170"/>
        <v>0</v>
      </c>
    </row>
    <row r="303" spans="1:14" s="896" customFormat="1" ht="15" customHeight="1">
      <c r="A303" s="1294"/>
      <c r="B303" s="1295"/>
      <c r="C303" s="1295" t="s">
        <v>2604</v>
      </c>
      <c r="D303" s="1295"/>
      <c r="E303" s="1190" t="str">
        <f>+E87</f>
        <v>有り</v>
      </c>
      <c r="F303" s="1056" t="s">
        <v>2605</v>
      </c>
      <c r="G303" s="1057"/>
      <c r="H303" s="1292"/>
      <c r="I303" s="1292"/>
      <c r="J303" s="1292"/>
      <c r="K303" s="1292"/>
      <c r="L303" s="1292"/>
      <c r="M303" s="1292"/>
      <c r="N303" s="1293"/>
    </row>
    <row r="304" spans="1:14" s="896" customFormat="1" ht="15" customHeight="1">
      <c r="A304" s="2662" t="s">
        <v>2525</v>
      </c>
      <c r="B304" s="2663"/>
      <c r="C304" s="2663"/>
      <c r="D304" s="2663"/>
      <c r="E304" s="2663"/>
      <c r="F304" s="2664"/>
      <c r="G304" s="894" t="str">
        <f t="shared" ref="G304:N304" si="171">+G10</f>
        <v>積上げ・率処理併用</v>
      </c>
      <c r="H304" s="894" t="str">
        <f t="shared" si="171"/>
        <v>積上げ・率処理併用</v>
      </c>
      <c r="I304" s="894" t="str">
        <f t="shared" si="171"/>
        <v>積上げ・率処理併用</v>
      </c>
      <c r="J304" s="894" t="str">
        <f t="shared" si="171"/>
        <v>積上げ・率処理併用</v>
      </c>
      <c r="K304" s="894" t="str">
        <f t="shared" si="171"/>
        <v>積上げ・率処理併用</v>
      </c>
      <c r="L304" s="894" t="str">
        <f t="shared" si="171"/>
        <v>積上げ・率処理併用</v>
      </c>
      <c r="M304" s="894" t="str">
        <f t="shared" si="171"/>
        <v>積上げ・率処理併用</v>
      </c>
      <c r="N304" s="895" t="str">
        <f t="shared" si="171"/>
        <v>積上げ・率処理併用</v>
      </c>
    </row>
    <row r="305" spans="1:14" s="896" customFormat="1" ht="30" customHeight="1">
      <c r="A305" s="2665" t="s">
        <v>2526</v>
      </c>
      <c r="B305" s="2666"/>
      <c r="C305" s="2666"/>
      <c r="D305" s="2666"/>
      <c r="E305" s="2666"/>
      <c r="F305" s="2667"/>
      <c r="G305" s="1296" t="str">
        <f>G11</f>
        <v>駅施設</v>
      </c>
      <c r="H305" s="1296" t="str">
        <f t="shared" ref="H305:N306" si="172">H11</f>
        <v>駅施設</v>
      </c>
      <c r="I305" s="1296" t="str">
        <f t="shared" si="172"/>
        <v>駅施設</v>
      </c>
      <c r="J305" s="1296" t="str">
        <f t="shared" si="172"/>
        <v>駅施設</v>
      </c>
      <c r="K305" s="1296" t="str">
        <f t="shared" si="172"/>
        <v>駅施設</v>
      </c>
      <c r="L305" s="1296" t="str">
        <f t="shared" si="172"/>
        <v>駅施設</v>
      </c>
      <c r="M305" s="1296" t="str">
        <f t="shared" si="172"/>
        <v>駅施設</v>
      </c>
      <c r="N305" s="1297" t="str">
        <f t="shared" si="172"/>
        <v>駅施設</v>
      </c>
    </row>
    <row r="306" spans="1:14" s="896" customFormat="1" ht="30" customHeight="1">
      <c r="A306" s="2596" t="s">
        <v>2527</v>
      </c>
      <c r="B306" s="2597"/>
      <c r="C306" s="2597"/>
      <c r="D306" s="2597"/>
      <c r="E306" s="2597"/>
      <c r="F306" s="2598"/>
      <c r="G306" s="1298" t="str">
        <f>G12</f>
        <v>無し</v>
      </c>
      <c r="H306" s="1298" t="str">
        <f t="shared" si="172"/>
        <v>無し</v>
      </c>
      <c r="I306" s="1298" t="str">
        <f t="shared" si="172"/>
        <v>無し</v>
      </c>
      <c r="J306" s="1298" t="str">
        <f t="shared" si="172"/>
        <v>無し</v>
      </c>
      <c r="K306" s="1298" t="str">
        <f t="shared" si="172"/>
        <v>無し</v>
      </c>
      <c r="L306" s="1298" t="str">
        <f t="shared" si="172"/>
        <v>無し</v>
      </c>
      <c r="M306" s="1298" t="str">
        <f t="shared" si="172"/>
        <v>無し</v>
      </c>
      <c r="N306" s="1299" t="str">
        <f t="shared" si="172"/>
        <v>無し</v>
      </c>
    </row>
    <row r="307" spans="1:14" s="896" customFormat="1" ht="15" customHeight="1">
      <c r="A307" s="877"/>
      <c r="B307" s="901" t="s">
        <v>2609</v>
      </c>
      <c r="C307" s="902"/>
      <c r="D307" s="902"/>
      <c r="E307" s="903"/>
      <c r="F307" s="904">
        <f>SUM(G307:N307)</f>
        <v>215764526</v>
      </c>
      <c r="G307" s="905">
        <f>+G308+G312</f>
        <v>47796218</v>
      </c>
      <c r="H307" s="905">
        <f t="shared" ref="H307:N307" si="173">+H308+H312</f>
        <v>28913934</v>
      </c>
      <c r="I307" s="905">
        <f t="shared" si="173"/>
        <v>139054374</v>
      </c>
      <c r="J307" s="905">
        <f t="shared" si="173"/>
        <v>0</v>
      </c>
      <c r="K307" s="905">
        <f t="shared" si="173"/>
        <v>0</v>
      </c>
      <c r="L307" s="905">
        <f t="shared" si="173"/>
        <v>0</v>
      </c>
      <c r="M307" s="905">
        <f t="shared" si="173"/>
        <v>0</v>
      </c>
      <c r="N307" s="906">
        <f t="shared" si="173"/>
        <v>0</v>
      </c>
    </row>
    <row r="308" spans="1:14" s="896" customFormat="1" ht="15" customHeight="1">
      <c r="A308" s="1294"/>
      <c r="B308" s="1295"/>
      <c r="C308" s="694" t="s">
        <v>2529</v>
      </c>
      <c r="D308" s="695"/>
      <c r="E308" s="881"/>
      <c r="F308" s="907">
        <f>SUM(G308:N308)</f>
        <v>200742613</v>
      </c>
      <c r="G308" s="1300">
        <f t="shared" ref="G308:N308" si="174">+G92+G14</f>
        <v>42674280</v>
      </c>
      <c r="H308" s="1300">
        <f t="shared" si="174"/>
        <v>27426558</v>
      </c>
      <c r="I308" s="1300">
        <f t="shared" si="174"/>
        <v>130641775</v>
      </c>
      <c r="J308" s="1300">
        <f t="shared" si="174"/>
        <v>0</v>
      </c>
      <c r="K308" s="1300">
        <f t="shared" si="174"/>
        <v>0</v>
      </c>
      <c r="L308" s="1300">
        <f t="shared" si="174"/>
        <v>0</v>
      </c>
      <c r="M308" s="1300">
        <f t="shared" si="174"/>
        <v>0</v>
      </c>
      <c r="N308" s="1301">
        <f t="shared" si="174"/>
        <v>0</v>
      </c>
    </row>
    <row r="309" spans="1:14" s="896" customFormat="1" ht="15" customHeight="1">
      <c r="A309" s="1294"/>
      <c r="B309" s="1295"/>
      <c r="C309" s="1063"/>
      <c r="D309" s="1063"/>
      <c r="E309" s="910"/>
      <c r="F309" s="911" t="s">
        <v>2610</v>
      </c>
      <c r="G309" s="912">
        <f t="shared" ref="G309:N309" si="175">SUM(G401:G410)</f>
        <v>3754283</v>
      </c>
      <c r="H309" s="912">
        <f t="shared" si="175"/>
        <v>13658</v>
      </c>
      <c r="I309" s="912">
        <f t="shared" si="175"/>
        <v>2514930</v>
      </c>
      <c r="J309" s="912">
        <f t="shared" si="175"/>
        <v>0</v>
      </c>
      <c r="K309" s="912">
        <f t="shared" si="175"/>
        <v>0</v>
      </c>
      <c r="L309" s="912">
        <f t="shared" si="175"/>
        <v>0</v>
      </c>
      <c r="M309" s="912">
        <f t="shared" si="175"/>
        <v>0</v>
      </c>
      <c r="N309" s="913">
        <f t="shared" si="175"/>
        <v>0</v>
      </c>
    </row>
    <row r="310" spans="1:14" s="896" customFormat="1" ht="15" customHeight="1">
      <c r="A310" s="1294"/>
      <c r="B310" s="1295"/>
      <c r="C310" s="1063"/>
      <c r="D310" s="1063"/>
      <c r="E310" s="910"/>
      <c r="F310" s="911" t="s">
        <v>2611</v>
      </c>
      <c r="G310" s="912">
        <f t="shared" ref="G310:N310" si="176">SUM(G447:G449)</f>
        <v>0</v>
      </c>
      <c r="H310" s="912">
        <f t="shared" si="176"/>
        <v>0</v>
      </c>
      <c r="I310" s="912">
        <f t="shared" si="176"/>
        <v>0</v>
      </c>
      <c r="J310" s="912">
        <f t="shared" si="176"/>
        <v>0</v>
      </c>
      <c r="K310" s="912">
        <f t="shared" si="176"/>
        <v>0</v>
      </c>
      <c r="L310" s="912">
        <f t="shared" si="176"/>
        <v>0</v>
      </c>
      <c r="M310" s="912">
        <f t="shared" si="176"/>
        <v>0</v>
      </c>
      <c r="N310" s="913">
        <f t="shared" si="176"/>
        <v>0</v>
      </c>
    </row>
    <row r="311" spans="1:14" s="896" customFormat="1" ht="15" customHeight="1">
      <c r="A311" s="1294"/>
      <c r="B311" s="1295"/>
      <c r="C311" s="1063"/>
      <c r="D311" s="1063"/>
      <c r="E311" s="910"/>
      <c r="F311" s="1064" t="s">
        <v>2612</v>
      </c>
      <c r="G311" s="912">
        <f t="shared" ref="G311:N311" si="177">+G350</f>
        <v>0</v>
      </c>
      <c r="H311" s="912">
        <f t="shared" si="177"/>
        <v>0</v>
      </c>
      <c r="I311" s="912">
        <f t="shared" si="177"/>
        <v>0</v>
      </c>
      <c r="J311" s="912">
        <f t="shared" si="177"/>
        <v>0</v>
      </c>
      <c r="K311" s="912">
        <f t="shared" si="177"/>
        <v>0</v>
      </c>
      <c r="L311" s="912">
        <f t="shared" si="177"/>
        <v>0</v>
      </c>
      <c r="M311" s="912">
        <f t="shared" si="177"/>
        <v>0</v>
      </c>
      <c r="N311" s="913">
        <f t="shared" si="177"/>
        <v>0</v>
      </c>
    </row>
    <row r="312" spans="1:14" s="896" customFormat="1" ht="15" customHeight="1">
      <c r="A312" s="1294"/>
      <c r="B312" s="1295"/>
      <c r="C312" s="701" t="s">
        <v>2530</v>
      </c>
      <c r="D312" s="701"/>
      <c r="E312" s="910"/>
      <c r="F312" s="911">
        <f t="shared" ref="F312:F329" si="178">SUM(G312:N312)</f>
        <v>15021913</v>
      </c>
      <c r="G312" s="912">
        <f t="shared" ref="G312:N312" si="179">G313+G314</f>
        <v>5121938</v>
      </c>
      <c r="H312" s="912">
        <f t="shared" si="179"/>
        <v>1487376</v>
      </c>
      <c r="I312" s="912">
        <f t="shared" si="179"/>
        <v>8412599</v>
      </c>
      <c r="J312" s="912">
        <f t="shared" si="179"/>
        <v>0</v>
      </c>
      <c r="K312" s="912">
        <f t="shared" si="179"/>
        <v>0</v>
      </c>
      <c r="L312" s="912">
        <f t="shared" si="179"/>
        <v>0</v>
      </c>
      <c r="M312" s="912">
        <f t="shared" si="179"/>
        <v>0</v>
      </c>
      <c r="N312" s="913">
        <f t="shared" si="179"/>
        <v>0</v>
      </c>
    </row>
    <row r="313" spans="1:14" s="896" customFormat="1" ht="15" customHeight="1">
      <c r="A313" s="1294"/>
      <c r="B313" s="1295"/>
      <c r="C313" s="914" t="s">
        <v>2531</v>
      </c>
      <c r="D313" s="701"/>
      <c r="E313" s="910"/>
      <c r="F313" s="911">
        <f t="shared" si="178"/>
        <v>6151643</v>
      </c>
      <c r="G313" s="912">
        <f>IF(G304="積上げ",0,G390)</f>
        <v>1278923</v>
      </c>
      <c r="H313" s="912">
        <f t="shared" ref="H313:N313" si="180">IF(H304="積上げ",0,H390)</f>
        <v>764819</v>
      </c>
      <c r="I313" s="912">
        <f t="shared" si="180"/>
        <v>4107901</v>
      </c>
      <c r="J313" s="912">
        <f t="shared" si="180"/>
        <v>0</v>
      </c>
      <c r="K313" s="912">
        <f t="shared" si="180"/>
        <v>0</v>
      </c>
      <c r="L313" s="912">
        <f t="shared" si="180"/>
        <v>0</v>
      </c>
      <c r="M313" s="912">
        <f t="shared" si="180"/>
        <v>0</v>
      </c>
      <c r="N313" s="913">
        <f t="shared" si="180"/>
        <v>0</v>
      </c>
    </row>
    <row r="314" spans="1:14" s="896" customFormat="1" ht="15" customHeight="1">
      <c r="A314" s="1294"/>
      <c r="B314" s="1295"/>
      <c r="C314" s="914" t="s">
        <v>2537</v>
      </c>
      <c r="D314" s="701"/>
      <c r="E314" s="910"/>
      <c r="F314" s="911">
        <f t="shared" si="178"/>
        <v>8870270</v>
      </c>
      <c r="G314" s="1302">
        <f t="shared" ref="G314:N316" si="181">+G98+G22</f>
        <v>3843015</v>
      </c>
      <c r="H314" s="1302">
        <f t="shared" si="181"/>
        <v>722557</v>
      </c>
      <c r="I314" s="1302">
        <f t="shared" si="181"/>
        <v>4304698</v>
      </c>
      <c r="J314" s="1302">
        <f t="shared" si="181"/>
        <v>0</v>
      </c>
      <c r="K314" s="1302">
        <f t="shared" si="181"/>
        <v>0</v>
      </c>
      <c r="L314" s="1302">
        <f t="shared" si="181"/>
        <v>0</v>
      </c>
      <c r="M314" s="1302">
        <f t="shared" si="181"/>
        <v>0</v>
      </c>
      <c r="N314" s="1303">
        <f t="shared" si="181"/>
        <v>0</v>
      </c>
    </row>
    <row r="315" spans="1:14" s="896" customFormat="1" ht="15" customHeight="1">
      <c r="A315" s="1294"/>
      <c r="B315" s="1295"/>
      <c r="C315" s="922" t="s">
        <v>2721</v>
      </c>
      <c r="D315" s="701"/>
      <c r="E315" s="910"/>
      <c r="F315" s="911">
        <f t="shared" si="178"/>
        <v>0</v>
      </c>
      <c r="G315" s="912">
        <f t="shared" si="181"/>
        <v>0</v>
      </c>
      <c r="H315" s="912">
        <f t="shared" si="181"/>
        <v>0</v>
      </c>
      <c r="I315" s="912">
        <f t="shared" si="181"/>
        <v>0</v>
      </c>
      <c r="J315" s="912">
        <f t="shared" si="181"/>
        <v>0</v>
      </c>
      <c r="K315" s="912">
        <f t="shared" si="181"/>
        <v>0</v>
      </c>
      <c r="L315" s="912">
        <f t="shared" si="181"/>
        <v>0</v>
      </c>
      <c r="M315" s="912">
        <f t="shared" si="181"/>
        <v>0</v>
      </c>
      <c r="N315" s="913">
        <f t="shared" si="181"/>
        <v>0</v>
      </c>
    </row>
    <row r="316" spans="1:14" s="896" customFormat="1" ht="15" customHeight="1">
      <c r="A316" s="1294"/>
      <c r="B316" s="1295"/>
      <c r="C316" s="923" t="s">
        <v>2539</v>
      </c>
      <c r="D316" s="924"/>
      <c r="E316" s="925"/>
      <c r="F316" s="926">
        <f t="shared" si="178"/>
        <v>0</v>
      </c>
      <c r="G316" s="912">
        <f t="shared" si="181"/>
        <v>0</v>
      </c>
      <c r="H316" s="912">
        <f t="shared" si="181"/>
        <v>0</v>
      </c>
      <c r="I316" s="912">
        <f t="shared" si="181"/>
        <v>0</v>
      </c>
      <c r="J316" s="912">
        <f t="shared" si="181"/>
        <v>0</v>
      </c>
      <c r="K316" s="912">
        <f t="shared" si="181"/>
        <v>0</v>
      </c>
      <c r="L316" s="912">
        <f t="shared" si="181"/>
        <v>0</v>
      </c>
      <c r="M316" s="912">
        <f t="shared" si="181"/>
        <v>0</v>
      </c>
      <c r="N316" s="913">
        <f t="shared" si="181"/>
        <v>0</v>
      </c>
    </row>
    <row r="317" spans="1:14" s="896" customFormat="1" ht="15" customHeight="1">
      <c r="A317" s="1069"/>
      <c r="B317" s="1070"/>
      <c r="C317" s="1071" t="s">
        <v>2613</v>
      </c>
      <c r="D317" s="1072"/>
      <c r="E317" s="945"/>
      <c r="F317" s="946">
        <f t="shared" si="178"/>
        <v>0</v>
      </c>
      <c r="G317" s="1073">
        <f t="shared" ref="G317:N317" si="182">+G351</f>
        <v>0</v>
      </c>
      <c r="H317" s="1073">
        <f t="shared" si="182"/>
        <v>0</v>
      </c>
      <c r="I317" s="1073">
        <f t="shared" si="182"/>
        <v>0</v>
      </c>
      <c r="J317" s="1073">
        <f t="shared" si="182"/>
        <v>0</v>
      </c>
      <c r="K317" s="1073">
        <f t="shared" si="182"/>
        <v>0</v>
      </c>
      <c r="L317" s="1073">
        <f t="shared" si="182"/>
        <v>0</v>
      </c>
      <c r="M317" s="1073">
        <f t="shared" si="182"/>
        <v>0</v>
      </c>
      <c r="N317" s="1074">
        <f t="shared" si="182"/>
        <v>0</v>
      </c>
    </row>
    <row r="318" spans="1:14" s="896" customFormat="1" ht="15" customHeight="1">
      <c r="A318" s="1294"/>
      <c r="B318" s="924" t="s">
        <v>2614</v>
      </c>
      <c r="C318" s="924"/>
      <c r="D318" s="924"/>
      <c r="E318" s="925"/>
      <c r="F318" s="926">
        <f t="shared" si="178"/>
        <v>53535474</v>
      </c>
      <c r="G318" s="1075">
        <f t="shared" ref="G318:N318" si="183">G319+G324</f>
        <v>11756782</v>
      </c>
      <c r="H318" s="1075">
        <f t="shared" si="183"/>
        <v>6684066</v>
      </c>
      <c r="I318" s="1075">
        <f t="shared" si="183"/>
        <v>35094626</v>
      </c>
      <c r="J318" s="1075">
        <f t="shared" si="183"/>
        <v>0</v>
      </c>
      <c r="K318" s="1075">
        <f t="shared" si="183"/>
        <v>0</v>
      </c>
      <c r="L318" s="1075">
        <f t="shared" si="183"/>
        <v>0</v>
      </c>
      <c r="M318" s="1075">
        <f t="shared" si="183"/>
        <v>0</v>
      </c>
      <c r="N318" s="1076">
        <f t="shared" si="183"/>
        <v>0</v>
      </c>
    </row>
    <row r="319" spans="1:14" s="896" customFormat="1" ht="15" customHeight="1">
      <c r="A319" s="1294"/>
      <c r="B319" s="1295"/>
      <c r="C319" s="694" t="s">
        <v>2615</v>
      </c>
      <c r="D319" s="694"/>
      <c r="E319" s="882"/>
      <c r="F319" s="907">
        <f t="shared" si="178"/>
        <v>23545796</v>
      </c>
      <c r="G319" s="1077">
        <f t="shared" ref="G319:N319" si="184">G320+G323</f>
        <v>5124773</v>
      </c>
      <c r="H319" s="1077">
        <f t="shared" si="184"/>
        <v>2719515</v>
      </c>
      <c r="I319" s="1077">
        <f t="shared" si="184"/>
        <v>15701508</v>
      </c>
      <c r="J319" s="1077">
        <f t="shared" si="184"/>
        <v>0</v>
      </c>
      <c r="K319" s="1077">
        <f t="shared" si="184"/>
        <v>0</v>
      </c>
      <c r="L319" s="1077">
        <f t="shared" si="184"/>
        <v>0</v>
      </c>
      <c r="M319" s="1077">
        <f t="shared" si="184"/>
        <v>0</v>
      </c>
      <c r="N319" s="1078">
        <f t="shared" si="184"/>
        <v>0</v>
      </c>
    </row>
    <row r="320" spans="1:14" s="896" customFormat="1" ht="15" customHeight="1">
      <c r="A320" s="1294"/>
      <c r="B320" s="1295"/>
      <c r="C320" s="1079" t="s">
        <v>2616</v>
      </c>
      <c r="D320" s="1079"/>
      <c r="E320" s="891"/>
      <c r="F320" s="911">
        <f t="shared" si="178"/>
        <v>23545796</v>
      </c>
      <c r="G320" s="1080">
        <f t="shared" ref="G320:N320" si="185">SUM(G321:G322)-G323</f>
        <v>5124773</v>
      </c>
      <c r="H320" s="1080">
        <f t="shared" si="185"/>
        <v>2719515</v>
      </c>
      <c r="I320" s="1080">
        <f t="shared" si="185"/>
        <v>15701508</v>
      </c>
      <c r="J320" s="1080">
        <f t="shared" si="185"/>
        <v>0</v>
      </c>
      <c r="K320" s="1080">
        <f t="shared" si="185"/>
        <v>0</v>
      </c>
      <c r="L320" s="1080">
        <f t="shared" si="185"/>
        <v>0</v>
      </c>
      <c r="M320" s="1080">
        <f t="shared" si="185"/>
        <v>0</v>
      </c>
      <c r="N320" s="1081">
        <f t="shared" si="185"/>
        <v>0</v>
      </c>
    </row>
    <row r="321" spans="1:14" s="896" customFormat="1" ht="15" customHeight="1">
      <c r="A321" s="1294"/>
      <c r="B321" s="1295"/>
      <c r="C321" s="1082" t="s">
        <v>2617</v>
      </c>
      <c r="D321" s="1082"/>
      <c r="E321" s="910"/>
      <c r="F321" s="911">
        <f t="shared" si="178"/>
        <v>23432198</v>
      </c>
      <c r="G321" s="912">
        <f t="shared" ref="G321:N321" si="186">SUM(G416:G418)+G414</f>
        <v>5051609</v>
      </c>
      <c r="H321" s="912">
        <f t="shared" si="186"/>
        <v>2719515</v>
      </c>
      <c r="I321" s="912">
        <f t="shared" si="186"/>
        <v>15661074</v>
      </c>
      <c r="J321" s="912">
        <f t="shared" si="186"/>
        <v>0</v>
      </c>
      <c r="K321" s="912">
        <f t="shared" si="186"/>
        <v>0</v>
      </c>
      <c r="L321" s="912">
        <f t="shared" si="186"/>
        <v>0</v>
      </c>
      <c r="M321" s="912">
        <f t="shared" si="186"/>
        <v>0</v>
      </c>
      <c r="N321" s="913">
        <f t="shared" si="186"/>
        <v>0</v>
      </c>
    </row>
    <row r="322" spans="1:14" s="896" customFormat="1" ht="15" customHeight="1">
      <c r="A322" s="1294"/>
      <c r="B322" s="1295"/>
      <c r="C322" s="1082" t="s">
        <v>2618</v>
      </c>
      <c r="D322" s="1082"/>
      <c r="E322" s="910"/>
      <c r="F322" s="911">
        <f t="shared" si="178"/>
        <v>113598</v>
      </c>
      <c r="G322" s="912">
        <f t="shared" ref="G322:N322" si="187">SUM(G419:G430)</f>
        <v>73164</v>
      </c>
      <c r="H322" s="912">
        <f t="shared" si="187"/>
        <v>0</v>
      </c>
      <c r="I322" s="912">
        <f t="shared" si="187"/>
        <v>40434</v>
      </c>
      <c r="J322" s="912">
        <f t="shared" si="187"/>
        <v>0</v>
      </c>
      <c r="K322" s="912">
        <f t="shared" si="187"/>
        <v>0</v>
      </c>
      <c r="L322" s="912">
        <f t="shared" si="187"/>
        <v>0</v>
      </c>
      <c r="M322" s="912">
        <f t="shared" si="187"/>
        <v>0</v>
      </c>
      <c r="N322" s="913">
        <f t="shared" si="187"/>
        <v>0</v>
      </c>
    </row>
    <row r="323" spans="1:14" s="896" customFormat="1" ht="15" customHeight="1">
      <c r="A323" s="1294"/>
      <c r="B323" s="1295"/>
      <c r="C323" s="1082" t="s">
        <v>2619</v>
      </c>
      <c r="D323" s="1082"/>
      <c r="E323" s="910"/>
      <c r="F323" s="911">
        <f t="shared" si="178"/>
        <v>0</v>
      </c>
      <c r="G323" s="912">
        <f t="shared" ref="G323:N323" si="188">+G428</f>
        <v>0</v>
      </c>
      <c r="H323" s="912">
        <f t="shared" si="188"/>
        <v>0</v>
      </c>
      <c r="I323" s="912">
        <f t="shared" si="188"/>
        <v>0</v>
      </c>
      <c r="J323" s="912">
        <f t="shared" si="188"/>
        <v>0</v>
      </c>
      <c r="K323" s="912">
        <f t="shared" si="188"/>
        <v>0</v>
      </c>
      <c r="L323" s="912">
        <f t="shared" si="188"/>
        <v>0</v>
      </c>
      <c r="M323" s="912">
        <f t="shared" si="188"/>
        <v>0</v>
      </c>
      <c r="N323" s="913">
        <f t="shared" si="188"/>
        <v>0</v>
      </c>
    </row>
    <row r="324" spans="1:14" s="896" customFormat="1" ht="15" customHeight="1">
      <c r="A324" s="1294"/>
      <c r="B324" s="1295"/>
      <c r="C324" s="701" t="s">
        <v>2620</v>
      </c>
      <c r="D324" s="701"/>
      <c r="E324" s="910"/>
      <c r="F324" s="911">
        <f t="shared" si="178"/>
        <v>29989678</v>
      </c>
      <c r="G324" s="912">
        <f>SUM(G325:G328)</f>
        <v>6632009</v>
      </c>
      <c r="H324" s="912">
        <f t="shared" ref="H324:N324" si="189">SUM(H325:H328)</f>
        <v>3964551</v>
      </c>
      <c r="I324" s="912">
        <f t="shared" si="189"/>
        <v>19393118</v>
      </c>
      <c r="J324" s="912">
        <f t="shared" si="189"/>
        <v>0</v>
      </c>
      <c r="K324" s="912">
        <f t="shared" si="189"/>
        <v>0</v>
      </c>
      <c r="L324" s="912">
        <f t="shared" si="189"/>
        <v>0</v>
      </c>
      <c r="M324" s="912">
        <f t="shared" si="189"/>
        <v>0</v>
      </c>
      <c r="N324" s="913">
        <f t="shared" si="189"/>
        <v>0</v>
      </c>
    </row>
    <row r="325" spans="1:14" s="896" customFormat="1" ht="15" customHeight="1">
      <c r="A325" s="1294"/>
      <c r="B325" s="1295"/>
      <c r="C325" s="1082" t="s">
        <v>2617</v>
      </c>
      <c r="D325" s="1082"/>
      <c r="E325" s="910"/>
      <c r="F325" s="1083">
        <f t="shared" si="178"/>
        <v>28468862</v>
      </c>
      <c r="G325" s="912">
        <f>IF(G452=0,0,+G452-G469)</f>
        <v>6295696</v>
      </c>
      <c r="H325" s="912">
        <f t="shared" ref="H325:N325" si="190">IF(H452=0,0,+H452-H469)</f>
        <v>3763521</v>
      </c>
      <c r="I325" s="912">
        <f t="shared" si="190"/>
        <v>18409645</v>
      </c>
      <c r="J325" s="912">
        <f t="shared" si="190"/>
        <v>0</v>
      </c>
      <c r="K325" s="912">
        <f t="shared" si="190"/>
        <v>0</v>
      </c>
      <c r="L325" s="912">
        <f t="shared" si="190"/>
        <v>0</v>
      </c>
      <c r="M325" s="912">
        <f t="shared" si="190"/>
        <v>0</v>
      </c>
      <c r="N325" s="913">
        <f t="shared" si="190"/>
        <v>0</v>
      </c>
    </row>
    <row r="326" spans="1:14" s="896" customFormat="1" ht="15" customHeight="1">
      <c r="A326" s="1294"/>
      <c r="B326" s="1295"/>
      <c r="C326" s="1082" t="s">
        <v>2621</v>
      </c>
      <c r="D326" s="1082"/>
      <c r="E326" s="910"/>
      <c r="F326" s="911">
        <f t="shared" si="178"/>
        <v>1520816</v>
      </c>
      <c r="G326" s="912">
        <f t="shared" ref="G326:N326" si="191">+G453+G454</f>
        <v>336313</v>
      </c>
      <c r="H326" s="912">
        <f t="shared" si="191"/>
        <v>201030</v>
      </c>
      <c r="I326" s="912">
        <f t="shared" si="191"/>
        <v>983473</v>
      </c>
      <c r="J326" s="912">
        <f t="shared" si="191"/>
        <v>0</v>
      </c>
      <c r="K326" s="912">
        <f t="shared" si="191"/>
        <v>0</v>
      </c>
      <c r="L326" s="912">
        <f t="shared" si="191"/>
        <v>0</v>
      </c>
      <c r="M326" s="912">
        <f t="shared" si="191"/>
        <v>0</v>
      </c>
      <c r="N326" s="913">
        <f t="shared" si="191"/>
        <v>0</v>
      </c>
    </row>
    <row r="327" spans="1:14" s="896" customFormat="1" ht="15" customHeight="1">
      <c r="A327" s="1294"/>
      <c r="B327" s="1295"/>
      <c r="C327" s="1082" t="s">
        <v>2622</v>
      </c>
      <c r="D327" s="1082"/>
      <c r="E327" s="910"/>
      <c r="F327" s="911">
        <f t="shared" si="178"/>
        <v>0</v>
      </c>
      <c r="G327" s="912">
        <f t="shared" ref="G327:N327" si="192">SUM(G455:G459)</f>
        <v>0</v>
      </c>
      <c r="H327" s="912">
        <f t="shared" si="192"/>
        <v>0</v>
      </c>
      <c r="I327" s="912">
        <f t="shared" si="192"/>
        <v>0</v>
      </c>
      <c r="J327" s="912">
        <f t="shared" si="192"/>
        <v>0</v>
      </c>
      <c r="K327" s="912">
        <f t="shared" si="192"/>
        <v>0</v>
      </c>
      <c r="L327" s="912">
        <f t="shared" si="192"/>
        <v>0</v>
      </c>
      <c r="M327" s="912">
        <f t="shared" si="192"/>
        <v>0</v>
      </c>
      <c r="N327" s="913">
        <f t="shared" si="192"/>
        <v>0</v>
      </c>
    </row>
    <row r="328" spans="1:14" s="896" customFormat="1" ht="15" customHeight="1">
      <c r="A328" s="1294"/>
      <c r="B328" s="1295"/>
      <c r="C328" s="924" t="s">
        <v>2623</v>
      </c>
      <c r="D328" s="1295"/>
      <c r="E328" s="925"/>
      <c r="F328" s="926">
        <f t="shared" si="178"/>
        <v>0</v>
      </c>
      <c r="G328" s="1075">
        <f>IF(G460=0,0,+G460-G469)</f>
        <v>0</v>
      </c>
      <c r="H328" s="1075">
        <f t="shared" ref="H328:N328" si="193">IF(H460=0,0,+H460-H469)</f>
        <v>0</v>
      </c>
      <c r="I328" s="1075">
        <f t="shared" si="193"/>
        <v>0</v>
      </c>
      <c r="J328" s="1075">
        <f t="shared" si="193"/>
        <v>0</v>
      </c>
      <c r="K328" s="1075">
        <f t="shared" si="193"/>
        <v>0</v>
      </c>
      <c r="L328" s="1075">
        <f t="shared" si="193"/>
        <v>0</v>
      </c>
      <c r="M328" s="1075">
        <f t="shared" si="193"/>
        <v>0</v>
      </c>
      <c r="N328" s="1076">
        <f t="shared" si="193"/>
        <v>0</v>
      </c>
    </row>
    <row r="329" spans="1:14" s="896" customFormat="1" ht="15" customHeight="1">
      <c r="A329" s="1084"/>
      <c r="B329" s="902" t="s">
        <v>2624</v>
      </c>
      <c r="C329" s="902"/>
      <c r="D329" s="902"/>
      <c r="E329" s="1085"/>
      <c r="F329" s="904">
        <f t="shared" si="178"/>
        <v>269300000</v>
      </c>
      <c r="G329" s="905">
        <f t="shared" ref="G329:N329" si="194">G307+G318</f>
        <v>59553000</v>
      </c>
      <c r="H329" s="905">
        <f t="shared" si="194"/>
        <v>35598000</v>
      </c>
      <c r="I329" s="905">
        <f t="shared" si="194"/>
        <v>174149000</v>
      </c>
      <c r="J329" s="905">
        <f t="shared" si="194"/>
        <v>0</v>
      </c>
      <c r="K329" s="905">
        <f t="shared" si="194"/>
        <v>0</v>
      </c>
      <c r="L329" s="905">
        <f t="shared" si="194"/>
        <v>0</v>
      </c>
      <c r="M329" s="905">
        <f t="shared" si="194"/>
        <v>0</v>
      </c>
      <c r="N329" s="906">
        <f t="shared" si="194"/>
        <v>0</v>
      </c>
    </row>
    <row r="330" spans="1:14" s="896" customFormat="1" ht="15" customHeight="1">
      <c r="A330" s="1086"/>
      <c r="B330" s="1295"/>
      <c r="C330" s="1087" t="s">
        <v>2625</v>
      </c>
      <c r="D330" s="1087"/>
      <c r="E330" s="1088"/>
      <c r="F330" s="1042"/>
      <c r="G330" s="1089" t="s">
        <v>2626</v>
      </c>
      <c r="H330" s="1090"/>
      <c r="I330" s="1046"/>
      <c r="J330" s="1046"/>
      <c r="K330" s="1046"/>
      <c r="L330" s="1046"/>
      <c r="M330" s="1046"/>
      <c r="N330" s="1046"/>
    </row>
    <row r="331" spans="1:14" s="896" customFormat="1" ht="15" customHeight="1">
      <c r="A331" s="877"/>
      <c r="B331" s="878"/>
      <c r="C331" s="878"/>
      <c r="D331" s="878"/>
      <c r="E331" s="1091"/>
      <c r="F331" s="1092" t="s">
        <v>2517</v>
      </c>
      <c r="G331" s="1304" t="str">
        <f>+G302</f>
        <v>工事6</v>
      </c>
      <c r="H331" s="1093" t="str">
        <f t="shared" ref="H331:N331" si="195">+H302</f>
        <v>工事7</v>
      </c>
      <c r="I331" s="1093" t="str">
        <f t="shared" si="195"/>
        <v>工事8</v>
      </c>
      <c r="J331" s="1093">
        <f t="shared" si="195"/>
        <v>0</v>
      </c>
      <c r="K331" s="1093">
        <f t="shared" si="195"/>
        <v>0</v>
      </c>
      <c r="L331" s="1093">
        <f t="shared" si="195"/>
        <v>0</v>
      </c>
      <c r="M331" s="1093">
        <f t="shared" si="195"/>
        <v>0</v>
      </c>
      <c r="N331" s="1094">
        <f t="shared" si="195"/>
        <v>0</v>
      </c>
    </row>
    <row r="332" spans="1:14" s="896" customFormat="1" ht="15" customHeight="1">
      <c r="A332" s="929" t="s">
        <v>2540</v>
      </c>
      <c r="B332" s="930"/>
      <c r="C332" s="930"/>
      <c r="D332" s="930"/>
      <c r="E332" s="1190"/>
      <c r="F332" s="1305"/>
      <c r="G332" s="1306"/>
      <c r="H332" s="1306"/>
      <c r="I332" s="1306"/>
      <c r="J332" s="1306"/>
      <c r="K332" s="1306"/>
      <c r="L332" s="1306"/>
      <c r="M332" s="1306"/>
      <c r="N332" s="1307"/>
    </row>
    <row r="333" spans="1:14" s="896" customFormat="1" ht="15" customHeight="1">
      <c r="A333" s="2642"/>
      <c r="B333" s="2604" t="s">
        <v>2541</v>
      </c>
      <c r="C333" s="695" t="s">
        <v>2542</v>
      </c>
      <c r="D333" s="695"/>
      <c r="E333" s="882"/>
      <c r="F333" s="907">
        <f t="shared" ref="F333:F339" si="196">SUM(G333:N333)</f>
        <v>0</v>
      </c>
      <c r="G333" s="1077">
        <f t="shared" ref="G333:N348" si="197">+G117+G26</f>
        <v>0</v>
      </c>
      <c r="H333" s="1077">
        <f t="shared" si="197"/>
        <v>0</v>
      </c>
      <c r="I333" s="1077">
        <f t="shared" si="197"/>
        <v>0</v>
      </c>
      <c r="J333" s="1077">
        <f t="shared" si="197"/>
        <v>0</v>
      </c>
      <c r="K333" s="1077">
        <f t="shared" si="197"/>
        <v>0</v>
      </c>
      <c r="L333" s="1077">
        <f t="shared" si="197"/>
        <v>0</v>
      </c>
      <c r="M333" s="1077">
        <f t="shared" si="197"/>
        <v>0</v>
      </c>
      <c r="N333" s="1078">
        <f t="shared" si="197"/>
        <v>0</v>
      </c>
    </row>
    <row r="334" spans="1:14" s="896" customFormat="1" ht="15" customHeight="1">
      <c r="A334" s="2602"/>
      <c r="B334" s="2605"/>
      <c r="C334" s="702" t="s">
        <v>2543</v>
      </c>
      <c r="D334" s="702"/>
      <c r="E334" s="910"/>
      <c r="F334" s="911">
        <f t="shared" si="196"/>
        <v>194515979</v>
      </c>
      <c r="G334" s="912">
        <f t="shared" si="197"/>
        <v>38956217</v>
      </c>
      <c r="H334" s="912">
        <f t="shared" si="197"/>
        <v>27412900</v>
      </c>
      <c r="I334" s="912">
        <f t="shared" si="197"/>
        <v>128146862</v>
      </c>
      <c r="J334" s="912">
        <f t="shared" si="197"/>
        <v>0</v>
      </c>
      <c r="K334" s="912">
        <f t="shared" si="197"/>
        <v>0</v>
      </c>
      <c r="L334" s="912">
        <f t="shared" si="197"/>
        <v>0</v>
      </c>
      <c r="M334" s="912">
        <f t="shared" si="197"/>
        <v>0</v>
      </c>
      <c r="N334" s="913">
        <f t="shared" si="197"/>
        <v>0</v>
      </c>
    </row>
    <row r="335" spans="1:14" s="896" customFormat="1" ht="15" customHeight="1">
      <c r="A335" s="2602"/>
      <c r="B335" s="2605"/>
      <c r="C335" s="936" t="s">
        <v>2544</v>
      </c>
      <c r="D335" s="702"/>
      <c r="E335" s="910"/>
      <c r="F335" s="911">
        <f t="shared" si="196"/>
        <v>0</v>
      </c>
      <c r="G335" s="912">
        <f t="shared" si="197"/>
        <v>0</v>
      </c>
      <c r="H335" s="912">
        <f t="shared" si="197"/>
        <v>0</v>
      </c>
      <c r="I335" s="912">
        <f t="shared" si="197"/>
        <v>0</v>
      </c>
      <c r="J335" s="912">
        <f t="shared" si="197"/>
        <v>0</v>
      </c>
      <c r="K335" s="912">
        <f t="shared" si="197"/>
        <v>0</v>
      </c>
      <c r="L335" s="912">
        <f t="shared" si="197"/>
        <v>0</v>
      </c>
      <c r="M335" s="912">
        <f t="shared" si="197"/>
        <v>0</v>
      </c>
      <c r="N335" s="913">
        <f t="shared" si="197"/>
        <v>0</v>
      </c>
    </row>
    <row r="336" spans="1:14" s="896" customFormat="1" ht="15" customHeight="1">
      <c r="A336" s="2602"/>
      <c r="B336" s="2606"/>
      <c r="C336" s="936" t="s">
        <v>2545</v>
      </c>
      <c r="D336" s="702"/>
      <c r="E336" s="910"/>
      <c r="F336" s="911">
        <f t="shared" si="196"/>
        <v>0</v>
      </c>
      <c r="G336" s="912">
        <f t="shared" si="197"/>
        <v>0</v>
      </c>
      <c r="H336" s="912">
        <f t="shared" si="197"/>
        <v>0</v>
      </c>
      <c r="I336" s="912">
        <f t="shared" si="197"/>
        <v>0</v>
      </c>
      <c r="J336" s="912">
        <f t="shared" si="197"/>
        <v>0</v>
      </c>
      <c r="K336" s="912">
        <f t="shared" si="197"/>
        <v>0</v>
      </c>
      <c r="L336" s="912">
        <f t="shared" si="197"/>
        <v>0</v>
      </c>
      <c r="M336" s="912">
        <f t="shared" si="197"/>
        <v>0</v>
      </c>
      <c r="N336" s="913">
        <f t="shared" si="197"/>
        <v>0</v>
      </c>
    </row>
    <row r="337" spans="1:14" s="896" customFormat="1" ht="15" customHeight="1">
      <c r="A337" s="2602"/>
      <c r="B337" s="2607" t="s">
        <v>2546</v>
      </c>
      <c r="C337" s="701" t="s">
        <v>2628</v>
      </c>
      <c r="D337" s="702"/>
      <c r="E337" s="910"/>
      <c r="F337" s="911">
        <f t="shared" si="196"/>
        <v>0</v>
      </c>
      <c r="G337" s="1302">
        <f t="shared" si="197"/>
        <v>0</v>
      </c>
      <c r="H337" s="1302">
        <f t="shared" si="197"/>
        <v>0</v>
      </c>
      <c r="I337" s="1302">
        <f t="shared" si="197"/>
        <v>0</v>
      </c>
      <c r="J337" s="1302">
        <f t="shared" si="197"/>
        <v>0</v>
      </c>
      <c r="K337" s="1302">
        <f t="shared" si="197"/>
        <v>0</v>
      </c>
      <c r="L337" s="1302">
        <f t="shared" si="197"/>
        <v>0</v>
      </c>
      <c r="M337" s="1302">
        <f t="shared" si="197"/>
        <v>0</v>
      </c>
      <c r="N337" s="1303">
        <f t="shared" si="197"/>
        <v>0</v>
      </c>
    </row>
    <row r="338" spans="1:14" s="896" customFormat="1" ht="13.5" customHeight="1">
      <c r="A338" s="2602"/>
      <c r="B338" s="2605"/>
      <c r="C338" s="701" t="s">
        <v>2548</v>
      </c>
      <c r="D338" s="702"/>
      <c r="E338" s="910"/>
      <c r="F338" s="911">
        <f t="shared" si="196"/>
        <v>0</v>
      </c>
      <c r="G338" s="1302">
        <f t="shared" si="197"/>
        <v>0</v>
      </c>
      <c r="H338" s="1302">
        <f t="shared" si="197"/>
        <v>0</v>
      </c>
      <c r="I338" s="1302">
        <f t="shared" si="197"/>
        <v>0</v>
      </c>
      <c r="J338" s="1302">
        <f t="shared" si="197"/>
        <v>0</v>
      </c>
      <c r="K338" s="1302">
        <f t="shared" si="197"/>
        <v>0</v>
      </c>
      <c r="L338" s="1302">
        <f t="shared" si="197"/>
        <v>0</v>
      </c>
      <c r="M338" s="1302">
        <f t="shared" si="197"/>
        <v>0</v>
      </c>
      <c r="N338" s="1303">
        <f t="shared" si="197"/>
        <v>0</v>
      </c>
    </row>
    <row r="339" spans="1:14" s="896" customFormat="1" ht="13.5" customHeight="1">
      <c r="A339" s="2602"/>
      <c r="B339" s="2605"/>
      <c r="C339" s="702" t="s">
        <v>2549</v>
      </c>
      <c r="D339" s="702"/>
      <c r="E339" s="910"/>
      <c r="F339" s="911">
        <f t="shared" si="196"/>
        <v>5623700</v>
      </c>
      <c r="G339" s="1302">
        <f t="shared" si="197"/>
        <v>3622000</v>
      </c>
      <c r="H339" s="1302">
        <f t="shared" si="197"/>
        <v>0</v>
      </c>
      <c r="I339" s="1302">
        <f t="shared" si="197"/>
        <v>2001700</v>
      </c>
      <c r="J339" s="1302">
        <f t="shared" si="197"/>
        <v>0</v>
      </c>
      <c r="K339" s="1302">
        <f t="shared" si="197"/>
        <v>0</v>
      </c>
      <c r="L339" s="1302">
        <f t="shared" si="197"/>
        <v>0</v>
      </c>
      <c r="M339" s="1302">
        <f t="shared" si="197"/>
        <v>0</v>
      </c>
      <c r="N339" s="1303">
        <f t="shared" si="197"/>
        <v>0</v>
      </c>
    </row>
    <row r="340" spans="1:14" s="896" customFormat="1" ht="13.5" customHeight="1">
      <c r="A340" s="2602"/>
      <c r="B340" s="2605"/>
      <c r="C340" s="702" t="s">
        <v>2629</v>
      </c>
      <c r="D340" s="702"/>
      <c r="E340" s="910"/>
      <c r="F340" s="911"/>
      <c r="G340" s="912">
        <f t="shared" si="197"/>
        <v>0</v>
      </c>
      <c r="H340" s="912">
        <f t="shared" si="197"/>
        <v>0</v>
      </c>
      <c r="I340" s="912">
        <f t="shared" si="197"/>
        <v>0</v>
      </c>
      <c r="J340" s="912">
        <f t="shared" si="197"/>
        <v>0</v>
      </c>
      <c r="K340" s="912">
        <f t="shared" si="197"/>
        <v>0</v>
      </c>
      <c r="L340" s="912">
        <f t="shared" si="197"/>
        <v>0</v>
      </c>
      <c r="M340" s="912">
        <f t="shared" si="197"/>
        <v>0</v>
      </c>
      <c r="N340" s="913">
        <f t="shared" si="197"/>
        <v>0</v>
      </c>
    </row>
    <row r="341" spans="1:14" s="896" customFormat="1" ht="13.5" customHeight="1">
      <c r="A341" s="2602"/>
      <c r="B341" s="2605"/>
      <c r="C341" s="702" t="s">
        <v>2551</v>
      </c>
      <c r="D341" s="702"/>
      <c r="E341" s="910"/>
      <c r="F341" s="911"/>
      <c r="G341" s="912">
        <f t="shared" si="197"/>
        <v>0</v>
      </c>
      <c r="H341" s="912">
        <f t="shared" si="197"/>
        <v>0</v>
      </c>
      <c r="I341" s="912">
        <f t="shared" si="197"/>
        <v>0</v>
      </c>
      <c r="J341" s="912">
        <f t="shared" si="197"/>
        <v>0</v>
      </c>
      <c r="K341" s="912">
        <f t="shared" si="197"/>
        <v>0</v>
      </c>
      <c r="L341" s="912">
        <f t="shared" si="197"/>
        <v>0</v>
      </c>
      <c r="M341" s="912">
        <f t="shared" si="197"/>
        <v>0</v>
      </c>
      <c r="N341" s="913">
        <f t="shared" si="197"/>
        <v>0</v>
      </c>
    </row>
    <row r="342" spans="1:14" s="896" customFormat="1" ht="13.5" customHeight="1">
      <c r="A342" s="2602"/>
      <c r="B342" s="2605"/>
      <c r="C342" s="702" t="s">
        <v>2552</v>
      </c>
      <c r="D342" s="702"/>
      <c r="E342" s="910"/>
      <c r="F342" s="911">
        <f t="shared" ref="F342:F352" si="198">SUM(G342:N342)</f>
        <v>0</v>
      </c>
      <c r="G342" s="1302">
        <f t="shared" si="197"/>
        <v>0</v>
      </c>
      <c r="H342" s="1302">
        <f t="shared" si="197"/>
        <v>0</v>
      </c>
      <c r="I342" s="1302">
        <f t="shared" si="197"/>
        <v>0</v>
      </c>
      <c r="J342" s="1302">
        <f t="shared" si="197"/>
        <v>0</v>
      </c>
      <c r="K342" s="1302">
        <f t="shared" si="197"/>
        <v>0</v>
      </c>
      <c r="L342" s="1302">
        <f t="shared" si="197"/>
        <v>0</v>
      </c>
      <c r="M342" s="1302">
        <f t="shared" si="197"/>
        <v>0</v>
      </c>
      <c r="N342" s="1303">
        <f t="shared" si="197"/>
        <v>0</v>
      </c>
    </row>
    <row r="343" spans="1:14" s="896" customFormat="1" ht="13.5" customHeight="1">
      <c r="A343" s="2602"/>
      <c r="B343" s="2605"/>
      <c r="C343" s="937" t="s">
        <v>2553</v>
      </c>
      <c r="D343" s="702"/>
      <c r="E343" s="910"/>
      <c r="F343" s="911">
        <f t="shared" si="198"/>
        <v>0</v>
      </c>
      <c r="G343" s="912">
        <f t="shared" si="197"/>
        <v>0</v>
      </c>
      <c r="H343" s="912">
        <f t="shared" si="197"/>
        <v>0</v>
      </c>
      <c r="I343" s="912">
        <f t="shared" si="197"/>
        <v>0</v>
      </c>
      <c r="J343" s="912">
        <f t="shared" si="197"/>
        <v>0</v>
      </c>
      <c r="K343" s="912">
        <f t="shared" si="197"/>
        <v>0</v>
      </c>
      <c r="L343" s="912">
        <f t="shared" si="197"/>
        <v>0</v>
      </c>
      <c r="M343" s="912">
        <f t="shared" si="197"/>
        <v>0</v>
      </c>
      <c r="N343" s="913">
        <f t="shared" si="197"/>
        <v>0</v>
      </c>
    </row>
    <row r="344" spans="1:14" s="896" customFormat="1" ht="13.5" customHeight="1">
      <c r="A344" s="2602"/>
      <c r="B344" s="2605"/>
      <c r="C344" s="938" t="s">
        <v>2631</v>
      </c>
      <c r="D344" s="702"/>
      <c r="E344" s="910"/>
      <c r="F344" s="911">
        <f t="shared" si="198"/>
        <v>0</v>
      </c>
      <c r="G344" s="912">
        <f t="shared" si="197"/>
        <v>0</v>
      </c>
      <c r="H344" s="912">
        <f t="shared" si="197"/>
        <v>0</v>
      </c>
      <c r="I344" s="912">
        <f t="shared" si="197"/>
        <v>0</v>
      </c>
      <c r="J344" s="912">
        <f t="shared" si="197"/>
        <v>0</v>
      </c>
      <c r="K344" s="912">
        <f t="shared" si="197"/>
        <v>0</v>
      </c>
      <c r="L344" s="912">
        <f t="shared" si="197"/>
        <v>0</v>
      </c>
      <c r="M344" s="912">
        <f t="shared" si="197"/>
        <v>0</v>
      </c>
      <c r="N344" s="913">
        <f t="shared" si="197"/>
        <v>0</v>
      </c>
    </row>
    <row r="345" spans="1:14" s="896" customFormat="1" ht="13.5" customHeight="1">
      <c r="A345" s="2602"/>
      <c r="B345" s="2606"/>
      <c r="C345" s="702" t="s">
        <v>2555</v>
      </c>
      <c r="D345" s="702"/>
      <c r="E345" s="910"/>
      <c r="F345" s="911">
        <f t="shared" si="198"/>
        <v>0</v>
      </c>
      <c r="G345" s="1302">
        <f t="shared" si="197"/>
        <v>0</v>
      </c>
      <c r="H345" s="1302">
        <f t="shared" si="197"/>
        <v>0</v>
      </c>
      <c r="I345" s="1302">
        <f t="shared" si="197"/>
        <v>0</v>
      </c>
      <c r="J345" s="1302">
        <f t="shared" si="197"/>
        <v>0</v>
      </c>
      <c r="K345" s="1302">
        <f t="shared" si="197"/>
        <v>0</v>
      </c>
      <c r="L345" s="1302">
        <f t="shared" si="197"/>
        <v>0</v>
      </c>
      <c r="M345" s="1302">
        <f t="shared" si="197"/>
        <v>0</v>
      </c>
      <c r="N345" s="1303">
        <f t="shared" si="197"/>
        <v>0</v>
      </c>
    </row>
    <row r="346" spans="1:14" s="896" customFormat="1" ht="13.5" customHeight="1">
      <c r="A346" s="2602"/>
      <c r="B346" s="2607" t="s">
        <v>2556</v>
      </c>
      <c r="C346" s="936" t="s">
        <v>2557</v>
      </c>
      <c r="D346" s="702"/>
      <c r="E346" s="910"/>
      <c r="F346" s="911">
        <f t="shared" si="198"/>
        <v>602934</v>
      </c>
      <c r="G346" s="1302">
        <f t="shared" si="197"/>
        <v>96063</v>
      </c>
      <c r="H346" s="1302">
        <f t="shared" si="197"/>
        <v>13658</v>
      </c>
      <c r="I346" s="1302">
        <f t="shared" si="197"/>
        <v>493213</v>
      </c>
      <c r="J346" s="1302">
        <f t="shared" si="197"/>
        <v>0</v>
      </c>
      <c r="K346" s="1302">
        <f t="shared" si="197"/>
        <v>0</v>
      </c>
      <c r="L346" s="1302">
        <f t="shared" si="197"/>
        <v>0</v>
      </c>
      <c r="M346" s="1302">
        <f t="shared" si="197"/>
        <v>0</v>
      </c>
      <c r="N346" s="1303">
        <f t="shared" si="197"/>
        <v>0</v>
      </c>
    </row>
    <row r="347" spans="1:14" s="896" customFormat="1" ht="13.5" customHeight="1">
      <c r="A347" s="2602"/>
      <c r="B347" s="2605"/>
      <c r="C347" s="936" t="s">
        <v>2558</v>
      </c>
      <c r="D347" s="702"/>
      <c r="E347" s="910"/>
      <c r="F347" s="911">
        <f t="shared" si="198"/>
        <v>0</v>
      </c>
      <c r="G347" s="912">
        <f t="shared" si="197"/>
        <v>0</v>
      </c>
      <c r="H347" s="912">
        <f t="shared" si="197"/>
        <v>0</v>
      </c>
      <c r="I347" s="912">
        <f t="shared" si="197"/>
        <v>0</v>
      </c>
      <c r="J347" s="912">
        <f t="shared" si="197"/>
        <v>0</v>
      </c>
      <c r="K347" s="912">
        <f t="shared" si="197"/>
        <v>0</v>
      </c>
      <c r="L347" s="912">
        <f t="shared" si="197"/>
        <v>0</v>
      </c>
      <c r="M347" s="912">
        <f t="shared" si="197"/>
        <v>0</v>
      </c>
      <c r="N347" s="913">
        <f t="shared" si="197"/>
        <v>0</v>
      </c>
    </row>
    <row r="348" spans="1:14" s="896" customFormat="1" ht="13.5" customHeight="1">
      <c r="A348" s="2602"/>
      <c r="B348" s="2605"/>
      <c r="C348" s="702" t="s">
        <v>2559</v>
      </c>
      <c r="D348" s="702"/>
      <c r="E348" s="910"/>
      <c r="F348" s="911">
        <f t="shared" si="198"/>
        <v>0</v>
      </c>
      <c r="G348" s="912">
        <f t="shared" si="197"/>
        <v>0</v>
      </c>
      <c r="H348" s="912">
        <f t="shared" si="197"/>
        <v>0</v>
      </c>
      <c r="I348" s="912">
        <f t="shared" si="197"/>
        <v>0</v>
      </c>
      <c r="J348" s="912">
        <f t="shared" si="197"/>
        <v>0</v>
      </c>
      <c r="K348" s="912">
        <f t="shared" si="197"/>
        <v>0</v>
      </c>
      <c r="L348" s="912">
        <f t="shared" si="197"/>
        <v>0</v>
      </c>
      <c r="M348" s="912">
        <f t="shared" si="197"/>
        <v>0</v>
      </c>
      <c r="N348" s="913">
        <f t="shared" si="197"/>
        <v>0</v>
      </c>
    </row>
    <row r="349" spans="1:14" s="896" customFormat="1" ht="13.5" customHeight="1">
      <c r="A349" s="2602"/>
      <c r="B349" s="2605"/>
      <c r="C349" s="702" t="s">
        <v>2722</v>
      </c>
      <c r="D349" s="702"/>
      <c r="E349" s="910"/>
      <c r="F349" s="911">
        <f t="shared" si="198"/>
        <v>0</v>
      </c>
      <c r="G349" s="1302">
        <f t="shared" ref="G349:N352" si="199">+G133+G42</f>
        <v>0</v>
      </c>
      <c r="H349" s="1302">
        <f t="shared" si="199"/>
        <v>0</v>
      </c>
      <c r="I349" s="1302">
        <f t="shared" si="199"/>
        <v>0</v>
      </c>
      <c r="J349" s="1302">
        <f t="shared" si="199"/>
        <v>0</v>
      </c>
      <c r="K349" s="1302">
        <f t="shared" si="199"/>
        <v>0</v>
      </c>
      <c r="L349" s="1302">
        <f t="shared" si="199"/>
        <v>0</v>
      </c>
      <c r="M349" s="1302">
        <f t="shared" si="199"/>
        <v>0</v>
      </c>
      <c r="N349" s="1303">
        <f t="shared" si="199"/>
        <v>0</v>
      </c>
    </row>
    <row r="350" spans="1:14" s="896" customFormat="1" ht="13.5" customHeight="1">
      <c r="A350" s="2602"/>
      <c r="B350" s="2605"/>
      <c r="C350" s="940" t="s">
        <v>2561</v>
      </c>
      <c r="D350" s="940"/>
      <c r="E350" s="941"/>
      <c r="F350" s="911">
        <f t="shared" si="198"/>
        <v>0</v>
      </c>
      <c r="G350" s="1302">
        <f t="shared" si="199"/>
        <v>0</v>
      </c>
      <c r="H350" s="1302">
        <f t="shared" si="199"/>
        <v>0</v>
      </c>
      <c r="I350" s="1302">
        <f t="shared" si="199"/>
        <v>0</v>
      </c>
      <c r="J350" s="1302">
        <f t="shared" si="199"/>
        <v>0</v>
      </c>
      <c r="K350" s="1302">
        <f t="shared" si="199"/>
        <v>0</v>
      </c>
      <c r="L350" s="1302">
        <f t="shared" si="199"/>
        <v>0</v>
      </c>
      <c r="M350" s="1302">
        <f t="shared" si="199"/>
        <v>0</v>
      </c>
      <c r="N350" s="1303">
        <f t="shared" si="199"/>
        <v>0</v>
      </c>
    </row>
    <row r="351" spans="1:14" s="896" customFormat="1" ht="13.5" customHeight="1">
      <c r="A351" s="2602"/>
      <c r="B351" s="2605"/>
      <c r="C351" s="940" t="s">
        <v>2562</v>
      </c>
      <c r="D351" s="940"/>
      <c r="E351" s="941"/>
      <c r="F351" s="911">
        <f t="shared" si="198"/>
        <v>0</v>
      </c>
      <c r="G351" s="1302">
        <f t="shared" si="199"/>
        <v>0</v>
      </c>
      <c r="H351" s="1302">
        <f t="shared" si="199"/>
        <v>0</v>
      </c>
      <c r="I351" s="1302">
        <f t="shared" si="199"/>
        <v>0</v>
      </c>
      <c r="J351" s="1302">
        <f t="shared" si="199"/>
        <v>0</v>
      </c>
      <c r="K351" s="1302">
        <f t="shared" si="199"/>
        <v>0</v>
      </c>
      <c r="L351" s="1302">
        <f t="shared" si="199"/>
        <v>0</v>
      </c>
      <c r="M351" s="1302">
        <f t="shared" si="199"/>
        <v>0</v>
      </c>
      <c r="N351" s="1303">
        <f t="shared" si="199"/>
        <v>0</v>
      </c>
    </row>
    <row r="352" spans="1:14" s="896" customFormat="1" ht="13.5" customHeight="1">
      <c r="A352" s="2603"/>
      <c r="B352" s="2608"/>
      <c r="C352" s="944" t="s">
        <v>2563</v>
      </c>
      <c r="D352" s="944"/>
      <c r="E352" s="945"/>
      <c r="F352" s="946">
        <f t="shared" si="198"/>
        <v>0</v>
      </c>
      <c r="G352" s="1308">
        <f t="shared" si="199"/>
        <v>0</v>
      </c>
      <c r="H352" s="1308">
        <f t="shared" si="199"/>
        <v>0</v>
      </c>
      <c r="I352" s="1308">
        <f t="shared" si="199"/>
        <v>0</v>
      </c>
      <c r="J352" s="1308">
        <f t="shared" si="199"/>
        <v>0</v>
      </c>
      <c r="K352" s="1308">
        <f t="shared" si="199"/>
        <v>0</v>
      </c>
      <c r="L352" s="1308">
        <f t="shared" si="199"/>
        <v>0</v>
      </c>
      <c r="M352" s="1308">
        <f t="shared" si="199"/>
        <v>0</v>
      </c>
      <c r="N352" s="1309">
        <f t="shared" si="199"/>
        <v>0</v>
      </c>
    </row>
    <row r="353" spans="1:14" s="896" customFormat="1" ht="13.5" customHeight="1">
      <c r="A353" s="1295"/>
      <c r="B353" s="1295"/>
      <c r="C353" s="1099" t="s">
        <v>2632</v>
      </c>
      <c r="D353" s="1099"/>
      <c r="E353" s="923"/>
      <c r="F353" s="1042"/>
      <c r="G353" s="1046"/>
      <c r="H353" s="1046"/>
      <c r="I353" s="1046"/>
      <c r="J353" s="1046"/>
      <c r="K353" s="1046"/>
      <c r="L353" s="1046"/>
      <c r="M353" s="1046"/>
      <c r="N353" s="1100" t="s">
        <v>2723</v>
      </c>
    </row>
    <row r="354" spans="1:14" s="896" customFormat="1" ht="13.5" customHeight="1">
      <c r="A354" s="1295"/>
      <c r="B354" s="1295"/>
      <c r="C354" s="930" t="s">
        <v>2634</v>
      </c>
      <c r="D354" s="930"/>
      <c r="E354" s="923"/>
      <c r="F354" s="1042"/>
      <c r="G354" s="1046"/>
      <c r="H354" s="1046"/>
      <c r="I354" s="1046"/>
      <c r="J354" s="1046"/>
      <c r="K354" s="1046"/>
      <c r="L354" s="1046"/>
      <c r="M354" s="1046"/>
      <c r="N354" s="1100"/>
    </row>
    <row r="355" spans="1:14" s="896" customFormat="1" ht="13.5" customHeight="1">
      <c r="A355" s="877"/>
      <c r="B355" s="878"/>
      <c r="C355" s="878"/>
      <c r="D355" s="2616" t="s">
        <v>2635</v>
      </c>
      <c r="E355" s="2616" t="s">
        <v>2636</v>
      </c>
      <c r="F355" s="1092" t="s">
        <v>2517</v>
      </c>
      <c r="G355" s="1304" t="str">
        <f>+G302</f>
        <v>工事6</v>
      </c>
      <c r="H355" s="1093" t="str">
        <f t="shared" ref="H355:N355" si="200">+H302</f>
        <v>工事7</v>
      </c>
      <c r="I355" s="1093" t="str">
        <f t="shared" si="200"/>
        <v>工事8</v>
      </c>
      <c r="J355" s="1093">
        <f t="shared" si="200"/>
        <v>0</v>
      </c>
      <c r="K355" s="1093">
        <f t="shared" si="200"/>
        <v>0</v>
      </c>
      <c r="L355" s="1093">
        <f t="shared" si="200"/>
        <v>0</v>
      </c>
      <c r="M355" s="1093">
        <f t="shared" si="200"/>
        <v>0</v>
      </c>
      <c r="N355" s="1094">
        <f t="shared" si="200"/>
        <v>0</v>
      </c>
    </row>
    <row r="356" spans="1:14" s="896" customFormat="1" ht="13.5" customHeight="1">
      <c r="A356" s="2618" t="s">
        <v>2637</v>
      </c>
      <c r="B356" s="2619"/>
      <c r="C356" s="2620"/>
      <c r="D356" s="2617"/>
      <c r="E356" s="2617"/>
      <c r="F356" s="1101"/>
      <c r="G356" s="1102"/>
      <c r="H356" s="1102"/>
      <c r="I356" s="1102"/>
      <c r="J356" s="1102"/>
      <c r="K356" s="1102"/>
      <c r="L356" s="1102"/>
      <c r="M356" s="1102"/>
      <c r="N356" s="1103"/>
    </row>
    <row r="357" spans="1:14" s="896" customFormat="1" ht="13.5" customHeight="1">
      <c r="A357" s="2621"/>
      <c r="B357" s="1104" t="s">
        <v>2724</v>
      </c>
      <c r="C357" s="1105"/>
      <c r="D357" s="1106"/>
      <c r="E357" s="1107"/>
      <c r="F357" s="1108">
        <f t="shared" ref="F357:F364" si="201">SUM(G357:N357)</f>
        <v>200139679</v>
      </c>
      <c r="G357" s="1109">
        <f>SUM(G333:G345)+G349</f>
        <v>42578217</v>
      </c>
      <c r="H357" s="1109">
        <f t="shared" ref="H357:N357" si="202">SUM(H333:H345)+H349</f>
        <v>27412900</v>
      </c>
      <c r="I357" s="1109">
        <f t="shared" si="202"/>
        <v>130148562</v>
      </c>
      <c r="J357" s="1109">
        <f t="shared" si="202"/>
        <v>0</v>
      </c>
      <c r="K357" s="1109">
        <f t="shared" si="202"/>
        <v>0</v>
      </c>
      <c r="L357" s="1109">
        <f t="shared" si="202"/>
        <v>0</v>
      </c>
      <c r="M357" s="1109">
        <f t="shared" si="202"/>
        <v>0</v>
      </c>
      <c r="N357" s="1109">
        <f t="shared" si="202"/>
        <v>0</v>
      </c>
    </row>
    <row r="358" spans="1:14" s="896" customFormat="1" ht="13.5" customHeight="1">
      <c r="A358" s="2622"/>
      <c r="B358" s="2607" t="s">
        <v>2541</v>
      </c>
      <c r="C358" s="1110" t="s">
        <v>2542</v>
      </c>
      <c r="D358" s="1111">
        <v>1</v>
      </c>
      <c r="E358" s="1112" t="s">
        <v>2639</v>
      </c>
      <c r="F358" s="911">
        <f t="shared" si="201"/>
        <v>0</v>
      </c>
      <c r="G358" s="912">
        <f t="shared" ref="G358:N358" si="203">IF(G304="積上げ",0,+G333)</f>
        <v>0</v>
      </c>
      <c r="H358" s="912">
        <f t="shared" si="203"/>
        <v>0</v>
      </c>
      <c r="I358" s="912">
        <f t="shared" si="203"/>
        <v>0</v>
      </c>
      <c r="J358" s="912">
        <f t="shared" si="203"/>
        <v>0</v>
      </c>
      <c r="K358" s="912">
        <f t="shared" si="203"/>
        <v>0</v>
      </c>
      <c r="L358" s="912">
        <f t="shared" si="203"/>
        <v>0</v>
      </c>
      <c r="M358" s="912">
        <f t="shared" si="203"/>
        <v>0</v>
      </c>
      <c r="N358" s="912">
        <f t="shared" si="203"/>
        <v>0</v>
      </c>
    </row>
    <row r="359" spans="1:14" s="896" customFormat="1" ht="13.5" customHeight="1">
      <c r="A359" s="2622"/>
      <c r="B359" s="2605"/>
      <c r="C359" s="1110" t="s">
        <v>2543</v>
      </c>
      <c r="D359" s="1111">
        <v>1</v>
      </c>
      <c r="E359" s="1112" t="s">
        <v>2639</v>
      </c>
      <c r="F359" s="911">
        <f t="shared" si="201"/>
        <v>194515979</v>
      </c>
      <c r="G359" s="912">
        <f t="shared" ref="G359:N359" si="204">IF(G304="積上げ",0,+G334)</f>
        <v>38956217</v>
      </c>
      <c r="H359" s="912">
        <f t="shared" si="204"/>
        <v>27412900</v>
      </c>
      <c r="I359" s="912">
        <f t="shared" si="204"/>
        <v>128146862</v>
      </c>
      <c r="J359" s="912">
        <f t="shared" si="204"/>
        <v>0</v>
      </c>
      <c r="K359" s="912">
        <f t="shared" si="204"/>
        <v>0</v>
      </c>
      <c r="L359" s="912">
        <f t="shared" si="204"/>
        <v>0</v>
      </c>
      <c r="M359" s="912">
        <f t="shared" si="204"/>
        <v>0</v>
      </c>
      <c r="N359" s="912">
        <f t="shared" si="204"/>
        <v>0</v>
      </c>
    </row>
    <row r="360" spans="1:14" s="896" customFormat="1" ht="14">
      <c r="A360" s="2622"/>
      <c r="B360" s="2605"/>
      <c r="C360" s="1110" t="s">
        <v>2640</v>
      </c>
      <c r="D360" s="1111">
        <v>0.9</v>
      </c>
      <c r="E360" s="1112" t="s">
        <v>2639</v>
      </c>
      <c r="F360" s="911">
        <f t="shared" si="201"/>
        <v>0</v>
      </c>
      <c r="G360" s="912">
        <f t="shared" ref="G360:N360" si="205">IF(G304="積上げ",0,+G335)</f>
        <v>0</v>
      </c>
      <c r="H360" s="912">
        <f t="shared" si="205"/>
        <v>0</v>
      </c>
      <c r="I360" s="912">
        <f t="shared" si="205"/>
        <v>0</v>
      </c>
      <c r="J360" s="912">
        <f t="shared" si="205"/>
        <v>0</v>
      </c>
      <c r="K360" s="912">
        <f t="shared" si="205"/>
        <v>0</v>
      </c>
      <c r="L360" s="912">
        <f t="shared" si="205"/>
        <v>0</v>
      </c>
      <c r="M360" s="912">
        <f t="shared" si="205"/>
        <v>0</v>
      </c>
      <c r="N360" s="912">
        <f t="shared" si="205"/>
        <v>0</v>
      </c>
    </row>
    <row r="361" spans="1:14" s="896" customFormat="1" ht="14">
      <c r="A361" s="2622"/>
      <c r="B361" s="2606"/>
      <c r="C361" s="1110" t="s">
        <v>2641</v>
      </c>
      <c r="D361" s="1111">
        <v>0.9</v>
      </c>
      <c r="E361" s="1112" t="s">
        <v>2639</v>
      </c>
      <c r="F361" s="911">
        <f t="shared" si="201"/>
        <v>0</v>
      </c>
      <c r="G361" s="912">
        <f t="shared" ref="G361:N361" si="206">IF(G304="積上げ",0,+G336)</f>
        <v>0</v>
      </c>
      <c r="H361" s="912">
        <f t="shared" si="206"/>
        <v>0</v>
      </c>
      <c r="I361" s="912">
        <f t="shared" si="206"/>
        <v>0</v>
      </c>
      <c r="J361" s="912">
        <f t="shared" si="206"/>
        <v>0</v>
      </c>
      <c r="K361" s="912">
        <f t="shared" si="206"/>
        <v>0</v>
      </c>
      <c r="L361" s="912">
        <f t="shared" si="206"/>
        <v>0</v>
      </c>
      <c r="M361" s="912">
        <f t="shared" si="206"/>
        <v>0</v>
      </c>
      <c r="N361" s="912">
        <f t="shared" si="206"/>
        <v>0</v>
      </c>
    </row>
    <row r="362" spans="1:14" s="896" customFormat="1" ht="14">
      <c r="A362" s="2622"/>
      <c r="B362" s="2607" t="s">
        <v>2546</v>
      </c>
      <c r="C362" s="1110" t="s">
        <v>2642</v>
      </c>
      <c r="D362" s="1111">
        <v>1</v>
      </c>
      <c r="E362" s="1113">
        <v>0.01</v>
      </c>
      <c r="F362" s="911">
        <f t="shared" si="201"/>
        <v>0</v>
      </c>
      <c r="G362" s="912">
        <f t="shared" ref="G362:N362" si="207">IF(G304="積上げ",0,+G337)</f>
        <v>0</v>
      </c>
      <c r="H362" s="912">
        <f t="shared" si="207"/>
        <v>0</v>
      </c>
      <c r="I362" s="912">
        <f t="shared" si="207"/>
        <v>0</v>
      </c>
      <c r="J362" s="912">
        <f t="shared" si="207"/>
        <v>0</v>
      </c>
      <c r="K362" s="912">
        <f t="shared" si="207"/>
        <v>0</v>
      </c>
      <c r="L362" s="912">
        <f t="shared" si="207"/>
        <v>0</v>
      </c>
      <c r="M362" s="912">
        <f t="shared" si="207"/>
        <v>0</v>
      </c>
      <c r="N362" s="912">
        <f t="shared" si="207"/>
        <v>0</v>
      </c>
    </row>
    <row r="363" spans="1:14" s="896" customFormat="1" ht="14">
      <c r="A363" s="2622"/>
      <c r="B363" s="2605"/>
      <c r="C363" s="1110" t="s">
        <v>2643</v>
      </c>
      <c r="D363" s="1111">
        <v>1</v>
      </c>
      <c r="E363" s="1113">
        <v>0.01</v>
      </c>
      <c r="F363" s="911">
        <f t="shared" si="201"/>
        <v>0</v>
      </c>
      <c r="G363" s="912">
        <f t="shared" ref="G363:N363" si="208">IF(G304="積上げ",0,G338)</f>
        <v>0</v>
      </c>
      <c r="H363" s="912">
        <f t="shared" si="208"/>
        <v>0</v>
      </c>
      <c r="I363" s="912">
        <f t="shared" si="208"/>
        <v>0</v>
      </c>
      <c r="J363" s="912">
        <f t="shared" si="208"/>
        <v>0</v>
      </c>
      <c r="K363" s="912">
        <f t="shared" si="208"/>
        <v>0</v>
      </c>
      <c r="L363" s="912">
        <f t="shared" si="208"/>
        <v>0</v>
      </c>
      <c r="M363" s="912">
        <f t="shared" si="208"/>
        <v>0</v>
      </c>
      <c r="N363" s="912">
        <f t="shared" si="208"/>
        <v>0</v>
      </c>
    </row>
    <row r="364" spans="1:14" s="896" customFormat="1" ht="14">
      <c r="A364" s="2622"/>
      <c r="B364" s="2605"/>
      <c r="C364" s="1110" t="s">
        <v>2549</v>
      </c>
      <c r="D364" s="1111">
        <v>1</v>
      </c>
      <c r="E364" s="1113">
        <v>0.01</v>
      </c>
      <c r="F364" s="911">
        <f t="shared" si="201"/>
        <v>5623700</v>
      </c>
      <c r="G364" s="912">
        <f t="shared" ref="G364:N364" si="209">IF(G304="積上げ",0,G339)</f>
        <v>3622000</v>
      </c>
      <c r="H364" s="912">
        <f t="shared" si="209"/>
        <v>0</v>
      </c>
      <c r="I364" s="912">
        <f t="shared" si="209"/>
        <v>2001700</v>
      </c>
      <c r="J364" s="912">
        <f t="shared" si="209"/>
        <v>0</v>
      </c>
      <c r="K364" s="912">
        <f t="shared" si="209"/>
        <v>0</v>
      </c>
      <c r="L364" s="912">
        <f t="shared" si="209"/>
        <v>0</v>
      </c>
      <c r="M364" s="912">
        <f t="shared" si="209"/>
        <v>0</v>
      </c>
      <c r="N364" s="912">
        <f t="shared" si="209"/>
        <v>0</v>
      </c>
    </row>
    <row r="365" spans="1:14" s="896" customFormat="1" ht="14">
      <c r="A365" s="2622"/>
      <c r="B365" s="2605"/>
      <c r="C365" s="1110" t="s">
        <v>2629</v>
      </c>
      <c r="D365" s="1111"/>
      <c r="E365" s="1113"/>
      <c r="F365" s="911"/>
      <c r="G365" s="912"/>
      <c r="H365" s="912"/>
      <c r="I365" s="912"/>
      <c r="J365" s="912"/>
      <c r="K365" s="912"/>
      <c r="L365" s="912"/>
      <c r="M365" s="912"/>
      <c r="N365" s="912"/>
    </row>
    <row r="366" spans="1:14" s="896" customFormat="1" ht="14">
      <c r="A366" s="2622"/>
      <c r="B366" s="2605"/>
      <c r="C366" s="1110" t="s">
        <v>2551</v>
      </c>
      <c r="D366" s="1111"/>
      <c r="E366" s="1113"/>
      <c r="F366" s="911"/>
      <c r="G366" s="912"/>
      <c r="H366" s="912"/>
      <c r="I366" s="912"/>
      <c r="J366" s="912"/>
      <c r="K366" s="912"/>
      <c r="L366" s="912"/>
      <c r="M366" s="912"/>
      <c r="N366" s="912"/>
    </row>
    <row r="367" spans="1:14" s="896" customFormat="1" ht="14">
      <c r="A367" s="2622"/>
      <c r="B367" s="2605"/>
      <c r="C367" s="1110" t="s">
        <v>2552</v>
      </c>
      <c r="D367" s="1111">
        <v>1</v>
      </c>
      <c r="E367" s="1113">
        <v>0.01</v>
      </c>
      <c r="F367" s="911">
        <f>SUM(G367:N367)</f>
        <v>0</v>
      </c>
      <c r="G367" s="912">
        <f t="shared" ref="G367:N367" si="210">IF(G304="積上げ",0,+G342)</f>
        <v>0</v>
      </c>
      <c r="H367" s="912">
        <f t="shared" si="210"/>
        <v>0</v>
      </c>
      <c r="I367" s="912">
        <f t="shared" si="210"/>
        <v>0</v>
      </c>
      <c r="J367" s="912">
        <f t="shared" si="210"/>
        <v>0</v>
      </c>
      <c r="K367" s="912">
        <f t="shared" si="210"/>
        <v>0</v>
      </c>
      <c r="L367" s="912">
        <f t="shared" si="210"/>
        <v>0</v>
      </c>
      <c r="M367" s="912">
        <f t="shared" si="210"/>
        <v>0</v>
      </c>
      <c r="N367" s="912">
        <f t="shared" si="210"/>
        <v>0</v>
      </c>
    </row>
    <row r="368" spans="1:14" s="896" customFormat="1" ht="14">
      <c r="A368" s="2622"/>
      <c r="B368" s="2605"/>
      <c r="C368" s="1114" t="s">
        <v>2553</v>
      </c>
      <c r="D368" s="1111">
        <v>1</v>
      </c>
      <c r="E368" s="1113">
        <v>0.01</v>
      </c>
      <c r="F368" s="911">
        <f>SUM(G368:N368)</f>
        <v>0</v>
      </c>
      <c r="G368" s="912">
        <f t="shared" ref="G368:N368" si="211">IF(G304="積上げ",0,+G343)</f>
        <v>0</v>
      </c>
      <c r="H368" s="912">
        <f t="shared" si="211"/>
        <v>0</v>
      </c>
      <c r="I368" s="912">
        <f t="shared" si="211"/>
        <v>0</v>
      </c>
      <c r="J368" s="912">
        <f t="shared" si="211"/>
        <v>0</v>
      </c>
      <c r="K368" s="912">
        <f t="shared" si="211"/>
        <v>0</v>
      </c>
      <c r="L368" s="912">
        <f t="shared" si="211"/>
        <v>0</v>
      </c>
      <c r="M368" s="912">
        <f t="shared" si="211"/>
        <v>0</v>
      </c>
      <c r="N368" s="912">
        <f t="shared" si="211"/>
        <v>0</v>
      </c>
    </row>
    <row r="369" spans="1:14" s="896" customFormat="1" ht="14">
      <c r="A369" s="2622"/>
      <c r="B369" s="2605"/>
      <c r="C369" s="1114" t="s">
        <v>2631</v>
      </c>
      <c r="D369" s="1111">
        <v>1</v>
      </c>
      <c r="E369" s="1113">
        <v>0.01</v>
      </c>
      <c r="F369" s="911">
        <f>SUM(G369:N369)</f>
        <v>0</v>
      </c>
      <c r="G369" s="912">
        <f t="shared" ref="G369:N369" si="212">IF(G304="積上げ",0,+G344)</f>
        <v>0</v>
      </c>
      <c r="H369" s="912">
        <f t="shared" si="212"/>
        <v>0</v>
      </c>
      <c r="I369" s="912">
        <f t="shared" si="212"/>
        <v>0</v>
      </c>
      <c r="J369" s="912">
        <f t="shared" si="212"/>
        <v>0</v>
      </c>
      <c r="K369" s="912">
        <f t="shared" si="212"/>
        <v>0</v>
      </c>
      <c r="L369" s="912">
        <f t="shared" si="212"/>
        <v>0</v>
      </c>
      <c r="M369" s="912">
        <f t="shared" si="212"/>
        <v>0</v>
      </c>
      <c r="N369" s="912">
        <f t="shared" si="212"/>
        <v>0</v>
      </c>
    </row>
    <row r="370" spans="1:14" s="896" customFormat="1" ht="14">
      <c r="A370" s="2622"/>
      <c r="B370" s="2606"/>
      <c r="C370" s="1110" t="s">
        <v>2555</v>
      </c>
      <c r="D370" s="1111">
        <v>1</v>
      </c>
      <c r="E370" s="1113">
        <v>0.01</v>
      </c>
      <c r="F370" s="911">
        <f>SUM(G370:N370)</f>
        <v>0</v>
      </c>
      <c r="G370" s="912">
        <f t="shared" ref="G370:N370" si="213">IF(G304="積上げ",0,+G345)</f>
        <v>0</v>
      </c>
      <c r="H370" s="912">
        <f t="shared" si="213"/>
        <v>0</v>
      </c>
      <c r="I370" s="912">
        <f t="shared" si="213"/>
        <v>0</v>
      </c>
      <c r="J370" s="912">
        <f t="shared" si="213"/>
        <v>0</v>
      </c>
      <c r="K370" s="912">
        <f t="shared" si="213"/>
        <v>0</v>
      </c>
      <c r="L370" s="912">
        <f t="shared" si="213"/>
        <v>0</v>
      </c>
      <c r="M370" s="912">
        <f t="shared" si="213"/>
        <v>0</v>
      </c>
      <c r="N370" s="912">
        <f t="shared" si="213"/>
        <v>0</v>
      </c>
    </row>
    <row r="371" spans="1:14" s="896" customFormat="1" ht="14">
      <c r="A371" s="2623"/>
      <c r="B371" s="1115" t="s">
        <v>2644</v>
      </c>
      <c r="C371" s="1141" t="s">
        <v>2725</v>
      </c>
      <c r="D371" s="1117">
        <v>1</v>
      </c>
      <c r="E371" s="1118">
        <v>0</v>
      </c>
      <c r="F371" s="946">
        <f>SUM(G371:N371)</f>
        <v>602934</v>
      </c>
      <c r="G371" s="1073">
        <f>IF(G304="積上げ",0,SUM(G349:G352)+G346)</f>
        <v>96063</v>
      </c>
      <c r="H371" s="1073">
        <f t="shared" ref="H371:N371" si="214">IF(H304="積上げ",0,SUM(H349:H352)+H346)</f>
        <v>13658</v>
      </c>
      <c r="I371" s="1073">
        <f t="shared" si="214"/>
        <v>493213</v>
      </c>
      <c r="J371" s="1073">
        <f t="shared" si="214"/>
        <v>0</v>
      </c>
      <c r="K371" s="1073">
        <f t="shared" si="214"/>
        <v>0</v>
      </c>
      <c r="L371" s="1073">
        <f t="shared" si="214"/>
        <v>0</v>
      </c>
      <c r="M371" s="1073">
        <f t="shared" si="214"/>
        <v>0</v>
      </c>
      <c r="N371" s="1073">
        <f t="shared" si="214"/>
        <v>0</v>
      </c>
    </row>
    <row r="372" spans="1:14" s="896" customFormat="1" ht="14">
      <c r="A372" s="1119"/>
      <c r="B372" s="1120"/>
      <c r="C372" s="1121"/>
      <c r="D372" s="2624"/>
      <c r="E372" s="2624"/>
      <c r="F372" s="1108"/>
      <c r="G372" s="1109"/>
      <c r="H372" s="1109"/>
      <c r="I372" s="1109"/>
      <c r="J372" s="1109"/>
      <c r="K372" s="1109"/>
      <c r="L372" s="1109"/>
      <c r="M372" s="1109"/>
      <c r="N372" s="1122"/>
    </row>
    <row r="373" spans="1:14" s="896" customFormat="1" ht="14">
      <c r="A373" s="2618" t="s">
        <v>2646</v>
      </c>
      <c r="B373" s="2619"/>
      <c r="C373" s="2620"/>
      <c r="D373" s="2625"/>
      <c r="E373" s="2625"/>
      <c r="F373" s="1101"/>
      <c r="G373" s="1102"/>
      <c r="H373" s="1102"/>
      <c r="I373" s="1102"/>
      <c r="J373" s="1102"/>
      <c r="K373" s="1102"/>
      <c r="L373" s="1102"/>
      <c r="M373" s="1102"/>
      <c r="N373" s="1103"/>
    </row>
    <row r="374" spans="1:14" s="896" customFormat="1" ht="14">
      <c r="A374" s="2621"/>
      <c r="B374" s="2604" t="s">
        <v>2541</v>
      </c>
      <c r="C374" s="1123" t="s">
        <v>2542</v>
      </c>
      <c r="D374" s="1124"/>
      <c r="E374" s="1125" t="s">
        <v>2639</v>
      </c>
      <c r="F374" s="1126" t="s">
        <v>2647</v>
      </c>
      <c r="G374" s="1127">
        <f t="shared" ref="G374:N374" si="215">IF(G358=0,0,IF(G306="有り",+G479/100,G480/100))</f>
        <v>0</v>
      </c>
      <c r="H374" s="1127">
        <f t="shared" si="215"/>
        <v>0</v>
      </c>
      <c r="I374" s="1127">
        <f t="shared" si="215"/>
        <v>0</v>
      </c>
      <c r="J374" s="1127">
        <f t="shared" si="215"/>
        <v>0</v>
      </c>
      <c r="K374" s="1127">
        <f t="shared" si="215"/>
        <v>0</v>
      </c>
      <c r="L374" s="1127">
        <f t="shared" si="215"/>
        <v>0</v>
      </c>
      <c r="M374" s="1127">
        <f t="shared" si="215"/>
        <v>0</v>
      </c>
      <c r="N374" s="1128">
        <f t="shared" si="215"/>
        <v>0</v>
      </c>
    </row>
    <row r="375" spans="1:14" s="896" customFormat="1" ht="14">
      <c r="A375" s="2622"/>
      <c r="B375" s="2605"/>
      <c r="C375" s="1129"/>
      <c r="D375" s="1130">
        <f>+D358</f>
        <v>1</v>
      </c>
      <c r="E375" s="1131" t="s">
        <v>2639</v>
      </c>
      <c r="F375" s="1064">
        <f>SUM(G375:N375)</f>
        <v>0</v>
      </c>
      <c r="G375" s="1080">
        <f t="shared" ref="G375:N375" si="216">ROUNDDOWN(G358*G374*$D375,0)</f>
        <v>0</v>
      </c>
      <c r="H375" s="1080">
        <f t="shared" si="216"/>
        <v>0</v>
      </c>
      <c r="I375" s="1080">
        <f t="shared" si="216"/>
        <v>0</v>
      </c>
      <c r="J375" s="1080">
        <f t="shared" si="216"/>
        <v>0</v>
      </c>
      <c r="K375" s="1080">
        <f t="shared" si="216"/>
        <v>0</v>
      </c>
      <c r="L375" s="1080">
        <f t="shared" si="216"/>
        <v>0</v>
      </c>
      <c r="M375" s="1080">
        <f t="shared" si="216"/>
        <v>0</v>
      </c>
      <c r="N375" s="1081">
        <f t="shared" si="216"/>
        <v>0</v>
      </c>
    </row>
    <row r="376" spans="1:14" s="896" customFormat="1" ht="14">
      <c r="A376" s="2622"/>
      <c r="B376" s="2605"/>
      <c r="C376" s="1132" t="s">
        <v>2543</v>
      </c>
      <c r="D376" s="1133"/>
      <c r="E376" s="1131" t="s">
        <v>2639</v>
      </c>
      <c r="F376" s="1134" t="s">
        <v>2647</v>
      </c>
      <c r="G376" s="1135">
        <f t="shared" ref="G376:N376" si="217">IF(G359=0,0,IF(G306="有り",G488/100,+G489/100))</f>
        <v>3.1899999999999998E-2</v>
      </c>
      <c r="H376" s="1135">
        <f t="shared" si="217"/>
        <v>2.7900000000000001E-2</v>
      </c>
      <c r="I376" s="1135">
        <f t="shared" si="217"/>
        <v>3.1899999999999998E-2</v>
      </c>
      <c r="J376" s="1135">
        <f t="shared" si="217"/>
        <v>0</v>
      </c>
      <c r="K376" s="1135">
        <f t="shared" si="217"/>
        <v>0</v>
      </c>
      <c r="L376" s="1135">
        <f t="shared" si="217"/>
        <v>0</v>
      </c>
      <c r="M376" s="1135">
        <f t="shared" si="217"/>
        <v>0</v>
      </c>
      <c r="N376" s="1136">
        <f t="shared" si="217"/>
        <v>0</v>
      </c>
    </row>
    <row r="377" spans="1:14" s="896" customFormat="1" ht="14">
      <c r="A377" s="2622"/>
      <c r="B377" s="2605"/>
      <c r="C377" s="1129"/>
      <c r="D377" s="1137">
        <f t="shared" ref="D377:D382" si="218">+D359</f>
        <v>1</v>
      </c>
      <c r="E377" s="1131" t="s">
        <v>2639</v>
      </c>
      <c r="F377" s="1064">
        <f>SUM(G377:N377)</f>
        <v>6095406</v>
      </c>
      <c r="G377" s="1080">
        <f t="shared" ref="G377:N377" si="219">ROUNDDOWN(G359*G376*$D377,0)</f>
        <v>1242703</v>
      </c>
      <c r="H377" s="1080">
        <f t="shared" si="219"/>
        <v>764819</v>
      </c>
      <c r="I377" s="1080">
        <f t="shared" si="219"/>
        <v>4087884</v>
      </c>
      <c r="J377" s="1080">
        <f t="shared" si="219"/>
        <v>0</v>
      </c>
      <c r="K377" s="1080">
        <f t="shared" si="219"/>
        <v>0</v>
      </c>
      <c r="L377" s="1080">
        <f t="shared" si="219"/>
        <v>0</v>
      </c>
      <c r="M377" s="1080">
        <f t="shared" si="219"/>
        <v>0</v>
      </c>
      <c r="N377" s="1081">
        <f t="shared" si="219"/>
        <v>0</v>
      </c>
    </row>
    <row r="378" spans="1:14" s="896" customFormat="1" ht="14">
      <c r="A378" s="2622"/>
      <c r="B378" s="2605"/>
      <c r="C378" s="1110" t="s">
        <v>2565</v>
      </c>
      <c r="D378" s="1138">
        <v>0.9</v>
      </c>
      <c r="E378" s="1131" t="s">
        <v>2639</v>
      </c>
      <c r="F378" s="1064">
        <f>SUM(G378:N378)</f>
        <v>0</v>
      </c>
      <c r="G378" s="1080">
        <f t="shared" ref="G378:N378" si="220">ROUNDDOWN(G360*G374*$D378,0)</f>
        <v>0</v>
      </c>
      <c r="H378" s="1080">
        <f t="shared" si="220"/>
        <v>0</v>
      </c>
      <c r="I378" s="1080">
        <f t="shared" si="220"/>
        <v>0</v>
      </c>
      <c r="J378" s="1080">
        <f t="shared" si="220"/>
        <v>0</v>
      </c>
      <c r="K378" s="1080">
        <f t="shared" si="220"/>
        <v>0</v>
      </c>
      <c r="L378" s="1080">
        <f t="shared" si="220"/>
        <v>0</v>
      </c>
      <c r="M378" s="1080">
        <f t="shared" si="220"/>
        <v>0</v>
      </c>
      <c r="N378" s="1081">
        <f t="shared" si="220"/>
        <v>0</v>
      </c>
    </row>
    <row r="379" spans="1:14" s="896" customFormat="1" ht="14">
      <c r="A379" s="2622"/>
      <c r="B379" s="2606"/>
      <c r="C379" s="1110" t="s">
        <v>2566</v>
      </c>
      <c r="D379" s="1138">
        <v>0.9</v>
      </c>
      <c r="E379" s="1131" t="s">
        <v>2639</v>
      </c>
      <c r="F379" s="1064">
        <f>SUM(G379:N379)</f>
        <v>0</v>
      </c>
      <c r="G379" s="1080">
        <f t="shared" ref="G379:N379" si="221">ROUNDDOWN(G361*G376*$D379,0)</f>
        <v>0</v>
      </c>
      <c r="H379" s="1080">
        <f t="shared" si="221"/>
        <v>0</v>
      </c>
      <c r="I379" s="1080">
        <f t="shared" si="221"/>
        <v>0</v>
      </c>
      <c r="J379" s="1080">
        <f t="shared" si="221"/>
        <v>0</v>
      </c>
      <c r="K379" s="1080">
        <f t="shared" si="221"/>
        <v>0</v>
      </c>
      <c r="L379" s="1080">
        <f t="shared" si="221"/>
        <v>0</v>
      </c>
      <c r="M379" s="1080">
        <f t="shared" si="221"/>
        <v>0</v>
      </c>
      <c r="N379" s="1081">
        <f t="shared" si="221"/>
        <v>0</v>
      </c>
    </row>
    <row r="380" spans="1:14" s="896" customFormat="1" ht="14">
      <c r="A380" s="2622"/>
      <c r="B380" s="2607" t="s">
        <v>2546</v>
      </c>
      <c r="C380" s="1110" t="s">
        <v>2642</v>
      </c>
      <c r="D380" s="1138">
        <f>+D362</f>
        <v>1</v>
      </c>
      <c r="E380" s="1113">
        <f>+E362</f>
        <v>0.01</v>
      </c>
      <c r="F380" s="911">
        <v>0</v>
      </c>
      <c r="G380" s="1080">
        <f t="shared" ref="G380:N389" si="222">ROUNDDOWN(G362*$E380*$D380,0)</f>
        <v>0</v>
      </c>
      <c r="H380" s="1080">
        <f t="shared" si="222"/>
        <v>0</v>
      </c>
      <c r="I380" s="1080">
        <f t="shared" si="222"/>
        <v>0</v>
      </c>
      <c r="J380" s="1080">
        <f t="shared" si="222"/>
        <v>0</v>
      </c>
      <c r="K380" s="1080">
        <f t="shared" si="222"/>
        <v>0</v>
      </c>
      <c r="L380" s="1080">
        <f t="shared" si="222"/>
        <v>0</v>
      </c>
      <c r="M380" s="1080">
        <f t="shared" si="222"/>
        <v>0</v>
      </c>
      <c r="N380" s="1080">
        <f t="shared" si="222"/>
        <v>0</v>
      </c>
    </row>
    <row r="381" spans="1:14" s="896" customFormat="1" ht="14">
      <c r="A381" s="2622"/>
      <c r="B381" s="2605"/>
      <c r="C381" s="1110" t="s">
        <v>2648</v>
      </c>
      <c r="D381" s="1138">
        <f t="shared" si="218"/>
        <v>1</v>
      </c>
      <c r="E381" s="1113">
        <f>+E363</f>
        <v>0.01</v>
      </c>
      <c r="F381" s="911">
        <v>0</v>
      </c>
      <c r="G381" s="1080">
        <f t="shared" si="222"/>
        <v>0</v>
      </c>
      <c r="H381" s="1080">
        <f t="shared" si="222"/>
        <v>0</v>
      </c>
      <c r="I381" s="1080">
        <f t="shared" si="222"/>
        <v>0</v>
      </c>
      <c r="J381" s="1080">
        <f t="shared" si="222"/>
        <v>0</v>
      </c>
      <c r="K381" s="1080">
        <f t="shared" si="222"/>
        <v>0</v>
      </c>
      <c r="L381" s="1080">
        <f t="shared" si="222"/>
        <v>0</v>
      </c>
      <c r="M381" s="1080">
        <f t="shared" si="222"/>
        <v>0</v>
      </c>
      <c r="N381" s="1080">
        <f t="shared" si="222"/>
        <v>0</v>
      </c>
    </row>
    <row r="382" spans="1:14" s="896" customFormat="1" ht="14">
      <c r="A382" s="2622"/>
      <c r="B382" s="2605"/>
      <c r="C382" s="1110" t="s">
        <v>2549</v>
      </c>
      <c r="D382" s="1138">
        <f t="shared" si="218"/>
        <v>1</v>
      </c>
      <c r="E382" s="1113">
        <f>+E364</f>
        <v>0.01</v>
      </c>
      <c r="F382" s="911">
        <v>0</v>
      </c>
      <c r="G382" s="1080">
        <f t="shared" si="222"/>
        <v>36220</v>
      </c>
      <c r="H382" s="1080">
        <f t="shared" si="222"/>
        <v>0</v>
      </c>
      <c r="I382" s="1080">
        <f t="shared" si="222"/>
        <v>20017</v>
      </c>
      <c r="J382" s="1080">
        <f t="shared" si="222"/>
        <v>0</v>
      </c>
      <c r="K382" s="1080">
        <f t="shared" si="222"/>
        <v>0</v>
      </c>
      <c r="L382" s="1080">
        <f t="shared" si="222"/>
        <v>0</v>
      </c>
      <c r="M382" s="1080">
        <f t="shared" si="222"/>
        <v>0</v>
      </c>
      <c r="N382" s="1080">
        <f t="shared" si="222"/>
        <v>0</v>
      </c>
    </row>
    <row r="383" spans="1:14" s="896" customFormat="1" ht="14">
      <c r="A383" s="2622"/>
      <c r="B383" s="2605"/>
      <c r="C383" s="1110" t="s">
        <v>2649</v>
      </c>
      <c r="D383" s="1138"/>
      <c r="E383" s="1113"/>
      <c r="F383" s="911"/>
      <c r="G383" s="1080"/>
      <c r="H383" s="1080"/>
      <c r="I383" s="1080"/>
      <c r="J383" s="1080"/>
      <c r="K383" s="1080"/>
      <c r="L383" s="1080"/>
      <c r="M383" s="1080"/>
      <c r="N383" s="1080"/>
    </row>
    <row r="384" spans="1:14" s="896" customFormat="1" ht="14">
      <c r="A384" s="2622"/>
      <c r="B384" s="2605"/>
      <c r="C384" s="1139" t="s">
        <v>2551</v>
      </c>
      <c r="D384" s="1138"/>
      <c r="E384" s="1113"/>
      <c r="F384" s="911"/>
      <c r="G384" s="1080"/>
      <c r="H384" s="1080"/>
      <c r="I384" s="1080"/>
      <c r="J384" s="1080"/>
      <c r="K384" s="1080"/>
      <c r="L384" s="1080"/>
      <c r="M384" s="1080"/>
      <c r="N384" s="1080"/>
    </row>
    <row r="385" spans="1:14" s="896" customFormat="1" ht="14">
      <c r="A385" s="2622"/>
      <c r="B385" s="2605"/>
      <c r="C385" s="1110" t="s">
        <v>2552</v>
      </c>
      <c r="D385" s="1138">
        <f t="shared" ref="D385:E389" si="223">+D367</f>
        <v>1</v>
      </c>
      <c r="E385" s="1113">
        <f t="shared" si="223"/>
        <v>0.01</v>
      </c>
      <c r="F385" s="911">
        <v>0</v>
      </c>
      <c r="G385" s="1080">
        <f t="shared" si="222"/>
        <v>0</v>
      </c>
      <c r="H385" s="1080">
        <f t="shared" si="222"/>
        <v>0</v>
      </c>
      <c r="I385" s="1080">
        <f t="shared" si="222"/>
        <v>0</v>
      </c>
      <c r="J385" s="1080">
        <f t="shared" si="222"/>
        <v>0</v>
      </c>
      <c r="K385" s="1080">
        <f t="shared" si="222"/>
        <v>0</v>
      </c>
      <c r="L385" s="1080">
        <f t="shared" si="222"/>
        <v>0</v>
      </c>
      <c r="M385" s="1080">
        <f t="shared" si="222"/>
        <v>0</v>
      </c>
      <c r="N385" s="1080">
        <f t="shared" si="222"/>
        <v>0</v>
      </c>
    </row>
    <row r="386" spans="1:14" s="896" customFormat="1" ht="14">
      <c r="A386" s="2622"/>
      <c r="B386" s="2605"/>
      <c r="C386" s="1114" t="s">
        <v>2650</v>
      </c>
      <c r="D386" s="1138">
        <f t="shared" si="223"/>
        <v>1</v>
      </c>
      <c r="E386" s="1113">
        <f t="shared" si="223"/>
        <v>0.01</v>
      </c>
      <c r="F386" s="911">
        <v>0</v>
      </c>
      <c r="G386" s="1080">
        <f t="shared" si="222"/>
        <v>0</v>
      </c>
      <c r="H386" s="1080">
        <f t="shared" si="222"/>
        <v>0</v>
      </c>
      <c r="I386" s="1080">
        <f t="shared" si="222"/>
        <v>0</v>
      </c>
      <c r="J386" s="1080">
        <f t="shared" si="222"/>
        <v>0</v>
      </c>
      <c r="K386" s="1080">
        <f t="shared" si="222"/>
        <v>0</v>
      </c>
      <c r="L386" s="1080">
        <f t="shared" si="222"/>
        <v>0</v>
      </c>
      <c r="M386" s="1080">
        <f t="shared" si="222"/>
        <v>0</v>
      </c>
      <c r="N386" s="1080">
        <f t="shared" si="222"/>
        <v>0</v>
      </c>
    </row>
    <row r="387" spans="1:14" s="896" customFormat="1" ht="14">
      <c r="A387" s="2622"/>
      <c r="B387" s="2605"/>
      <c r="C387" s="1114" t="s">
        <v>2651</v>
      </c>
      <c r="D387" s="1138">
        <f t="shared" si="223"/>
        <v>1</v>
      </c>
      <c r="E387" s="1113">
        <f t="shared" si="223"/>
        <v>0.01</v>
      </c>
      <c r="F387" s="911">
        <v>0</v>
      </c>
      <c r="G387" s="1080">
        <f t="shared" si="222"/>
        <v>0</v>
      </c>
      <c r="H387" s="1080">
        <f t="shared" si="222"/>
        <v>0</v>
      </c>
      <c r="I387" s="1080">
        <f t="shared" si="222"/>
        <v>0</v>
      </c>
      <c r="J387" s="1080">
        <f t="shared" si="222"/>
        <v>0</v>
      </c>
      <c r="K387" s="1080">
        <f t="shared" si="222"/>
        <v>0</v>
      </c>
      <c r="L387" s="1080">
        <f t="shared" si="222"/>
        <v>0</v>
      </c>
      <c r="M387" s="1080">
        <f t="shared" si="222"/>
        <v>0</v>
      </c>
      <c r="N387" s="1080">
        <f t="shared" si="222"/>
        <v>0</v>
      </c>
    </row>
    <row r="388" spans="1:14" s="896" customFormat="1" ht="14">
      <c r="A388" s="2622"/>
      <c r="B388" s="2606"/>
      <c r="C388" s="1110" t="s">
        <v>2555</v>
      </c>
      <c r="D388" s="1138">
        <f t="shared" si="223"/>
        <v>1</v>
      </c>
      <c r="E388" s="1113">
        <f t="shared" si="223"/>
        <v>0.01</v>
      </c>
      <c r="F388" s="911">
        <v>0</v>
      </c>
      <c r="G388" s="1080">
        <f t="shared" si="222"/>
        <v>0</v>
      </c>
      <c r="H388" s="1080">
        <f t="shared" si="222"/>
        <v>0</v>
      </c>
      <c r="I388" s="1080">
        <f t="shared" si="222"/>
        <v>0</v>
      </c>
      <c r="J388" s="1080">
        <f t="shared" si="222"/>
        <v>0</v>
      </c>
      <c r="K388" s="1080">
        <f t="shared" si="222"/>
        <v>0</v>
      </c>
      <c r="L388" s="1080">
        <f t="shared" si="222"/>
        <v>0</v>
      </c>
      <c r="M388" s="1080">
        <f t="shared" si="222"/>
        <v>0</v>
      </c>
      <c r="N388" s="1080">
        <f t="shared" si="222"/>
        <v>0</v>
      </c>
    </row>
    <row r="389" spans="1:14" s="896" customFormat="1" ht="15" thickBot="1">
      <c r="A389" s="2626"/>
      <c r="B389" s="1140" t="s">
        <v>2644</v>
      </c>
      <c r="C389" s="1141" t="s">
        <v>2652</v>
      </c>
      <c r="D389" s="1142">
        <f t="shared" si="223"/>
        <v>1</v>
      </c>
      <c r="E389" s="1143">
        <f t="shared" si="223"/>
        <v>0</v>
      </c>
      <c r="F389" s="1144">
        <f>ROUNDDOWN(D389*E389*F371,0)</f>
        <v>0</v>
      </c>
      <c r="G389" s="1080">
        <f>ROUNDDOWN(G371*$E389*$D389,0)</f>
        <v>0</v>
      </c>
      <c r="H389" s="1080">
        <f>ROUNDDOWN(H371*$E389*$D389,0)</f>
        <v>0</v>
      </c>
      <c r="I389" s="1080">
        <f>ROUNDDOWN(I371*$E389*$D389,0)</f>
        <v>0</v>
      </c>
      <c r="J389" s="1080">
        <f>ROUNDDOWN(J371*$E389*$D389,0)</f>
        <v>0</v>
      </c>
      <c r="K389" s="1080">
        <f t="shared" si="222"/>
        <v>0</v>
      </c>
      <c r="L389" s="1080">
        <f t="shared" si="222"/>
        <v>0</v>
      </c>
      <c r="M389" s="1080">
        <f t="shared" si="222"/>
        <v>0</v>
      </c>
      <c r="N389" s="1080">
        <f t="shared" si="222"/>
        <v>0</v>
      </c>
    </row>
    <row r="390" spans="1:14" s="896" customFormat="1" ht="15" thickTop="1">
      <c r="A390" s="1145"/>
      <c r="B390" s="1146"/>
      <c r="C390" s="1147" t="s">
        <v>2653</v>
      </c>
      <c r="D390" s="1148"/>
      <c r="E390" s="1149"/>
      <c r="F390" s="1150">
        <f>SUM(G390:N390)</f>
        <v>6151643</v>
      </c>
      <c r="G390" s="1151">
        <f>SUM(G377:G389)+G375</f>
        <v>1278923</v>
      </c>
      <c r="H390" s="1151">
        <f t="shared" ref="H390:N390" si="224">SUM(H377:H389)+H375</f>
        <v>764819</v>
      </c>
      <c r="I390" s="1151">
        <f t="shared" si="224"/>
        <v>4107901</v>
      </c>
      <c r="J390" s="1151">
        <f t="shared" si="224"/>
        <v>0</v>
      </c>
      <c r="K390" s="1151">
        <f t="shared" si="224"/>
        <v>0</v>
      </c>
      <c r="L390" s="1151">
        <f t="shared" si="224"/>
        <v>0</v>
      </c>
      <c r="M390" s="1151">
        <f t="shared" si="224"/>
        <v>0</v>
      </c>
      <c r="N390" s="1152">
        <f t="shared" si="224"/>
        <v>0</v>
      </c>
    </row>
    <row r="391" spans="1:14" s="896" customFormat="1" ht="14">
      <c r="A391" s="1295"/>
      <c r="B391" s="1295"/>
      <c r="C391" s="924"/>
      <c r="D391" s="924"/>
      <c r="E391" s="1295"/>
      <c r="F391" s="1153"/>
      <c r="G391" s="915"/>
      <c r="H391" s="915"/>
      <c r="I391" s="915"/>
      <c r="J391" s="915"/>
      <c r="K391" s="915"/>
      <c r="L391" s="915"/>
      <c r="M391" s="915"/>
      <c r="N391" s="915"/>
    </row>
    <row r="392" spans="1:14" s="896" customFormat="1" ht="14">
      <c r="A392" s="1295"/>
      <c r="B392" s="1295"/>
      <c r="C392" s="1099" t="s">
        <v>2726</v>
      </c>
      <c r="D392" s="1099"/>
      <c r="E392" s="923"/>
      <c r="F392" s="1042"/>
      <c r="G392" s="1046"/>
      <c r="H392" s="1046"/>
      <c r="I392" s="1046"/>
      <c r="J392" s="1046"/>
      <c r="K392" s="1046"/>
      <c r="L392" s="1046"/>
      <c r="M392" s="1046"/>
      <c r="N392" s="1100" t="s">
        <v>2727</v>
      </c>
    </row>
    <row r="393" spans="1:14" s="896" customFormat="1" ht="14">
      <c r="A393" s="1295"/>
      <c r="B393" s="1295"/>
      <c r="C393" s="930" t="s">
        <v>2656</v>
      </c>
      <c r="D393" s="930"/>
      <c r="E393" s="923"/>
      <c r="F393" s="1042"/>
      <c r="G393" s="1046"/>
      <c r="H393" s="1046"/>
      <c r="I393" s="1046"/>
      <c r="J393" s="1046"/>
      <c r="K393" s="1046"/>
      <c r="L393" s="1046"/>
      <c r="M393" s="1046"/>
      <c r="N393" s="1100"/>
    </row>
    <row r="394" spans="1:14" s="896" customFormat="1" ht="14">
      <c r="A394" s="877"/>
      <c r="B394" s="878"/>
      <c r="C394" s="878"/>
      <c r="D394" s="2616" t="s">
        <v>2635</v>
      </c>
      <c r="E394" s="2616" t="s">
        <v>2636</v>
      </c>
      <c r="F394" s="1092" t="s">
        <v>2517</v>
      </c>
      <c r="G394" s="1093" t="str">
        <f t="shared" ref="G394:N394" si="225">+G302</f>
        <v>工事6</v>
      </c>
      <c r="H394" s="1093" t="str">
        <f t="shared" si="225"/>
        <v>工事7</v>
      </c>
      <c r="I394" s="1093" t="str">
        <f t="shared" si="225"/>
        <v>工事8</v>
      </c>
      <c r="J394" s="1093">
        <f t="shared" si="225"/>
        <v>0</v>
      </c>
      <c r="K394" s="1093">
        <f t="shared" si="225"/>
        <v>0</v>
      </c>
      <c r="L394" s="1093">
        <f t="shared" si="225"/>
        <v>0</v>
      </c>
      <c r="M394" s="1093">
        <f t="shared" si="225"/>
        <v>0</v>
      </c>
      <c r="N394" s="1094">
        <f t="shared" si="225"/>
        <v>0</v>
      </c>
    </row>
    <row r="395" spans="1:14" s="896" customFormat="1" ht="14">
      <c r="A395" s="2618" t="s">
        <v>2657</v>
      </c>
      <c r="B395" s="2619"/>
      <c r="C395" s="2620"/>
      <c r="D395" s="2617"/>
      <c r="E395" s="2617"/>
      <c r="F395" s="1101"/>
      <c r="G395" s="1102"/>
      <c r="H395" s="1102"/>
      <c r="I395" s="1102"/>
      <c r="J395" s="1102"/>
      <c r="K395" s="1102"/>
      <c r="L395" s="1102"/>
      <c r="M395" s="1102"/>
      <c r="N395" s="1103"/>
    </row>
    <row r="396" spans="1:14" s="896" customFormat="1" ht="14">
      <c r="A396" s="2621"/>
      <c r="B396" s="1104" t="s">
        <v>2658</v>
      </c>
      <c r="C396" s="1105"/>
      <c r="D396" s="1106"/>
      <c r="E396" s="1107"/>
      <c r="F396" s="1108">
        <f t="shared" ref="F396:F403" si="226">SUM(G396:N396)</f>
        <v>215161592</v>
      </c>
      <c r="G396" s="1109">
        <f t="shared" ref="G396:N396" si="227">+G307-G351-G350-G346-G347</f>
        <v>47700155</v>
      </c>
      <c r="H396" s="1109">
        <f t="shared" si="227"/>
        <v>28900276</v>
      </c>
      <c r="I396" s="1109">
        <f t="shared" si="227"/>
        <v>138561161</v>
      </c>
      <c r="J396" s="1109">
        <f t="shared" si="227"/>
        <v>0</v>
      </c>
      <c r="K396" s="1109">
        <f t="shared" si="227"/>
        <v>0</v>
      </c>
      <c r="L396" s="1109">
        <f t="shared" si="227"/>
        <v>0</v>
      </c>
      <c r="M396" s="1109">
        <f t="shared" si="227"/>
        <v>0</v>
      </c>
      <c r="N396" s="1122">
        <f t="shared" si="227"/>
        <v>0</v>
      </c>
    </row>
    <row r="397" spans="1:14" s="896" customFormat="1" ht="14">
      <c r="A397" s="2622"/>
      <c r="B397" s="2607" t="s">
        <v>2541</v>
      </c>
      <c r="C397" s="1110" t="s">
        <v>2542</v>
      </c>
      <c r="D397" s="1111">
        <v>1</v>
      </c>
      <c r="E397" s="1112" t="s">
        <v>2639</v>
      </c>
      <c r="F397" s="911">
        <f t="shared" si="226"/>
        <v>0</v>
      </c>
      <c r="G397" s="912">
        <f>IF(G333&gt;=G334,+G333+G375+G314-G315-G316-G351,G333+G375)</f>
        <v>0</v>
      </c>
      <c r="H397" s="912">
        <f t="shared" ref="H397:N397" si="228">IF(H333&gt;=H334,+H333+H375+H314-H315-H316-H351,H333+H375)</f>
        <v>0</v>
      </c>
      <c r="I397" s="912">
        <f t="shared" si="228"/>
        <v>0</v>
      </c>
      <c r="J397" s="912">
        <f t="shared" si="228"/>
        <v>0</v>
      </c>
      <c r="K397" s="912">
        <f t="shared" si="228"/>
        <v>0</v>
      </c>
      <c r="L397" s="912">
        <f t="shared" si="228"/>
        <v>0</v>
      </c>
      <c r="M397" s="912">
        <f t="shared" si="228"/>
        <v>0</v>
      </c>
      <c r="N397" s="913">
        <f t="shared" si="228"/>
        <v>0</v>
      </c>
    </row>
    <row r="398" spans="1:14" s="896" customFormat="1" ht="14">
      <c r="A398" s="2622"/>
      <c r="B398" s="2605"/>
      <c r="C398" s="1110" t="s">
        <v>2543</v>
      </c>
      <c r="D398" s="1111">
        <v>1</v>
      </c>
      <c r="E398" s="1112" t="s">
        <v>2639</v>
      </c>
      <c r="F398" s="911">
        <f t="shared" si="226"/>
        <v>209481655</v>
      </c>
      <c r="G398" s="912">
        <f>IF(G333&gt;=G334,+G334+G377,G334+G377+G314-G315-G316-G351)</f>
        <v>44041935</v>
      </c>
      <c r="H398" s="912">
        <f t="shared" ref="H398:N398" si="229">IF(H333&gt;=H334,+H334+H377,H334+H377+H314-H315-H316-H351)</f>
        <v>28900276</v>
      </c>
      <c r="I398" s="912">
        <f t="shared" si="229"/>
        <v>136539444</v>
      </c>
      <c r="J398" s="912">
        <f t="shared" si="229"/>
        <v>0</v>
      </c>
      <c r="K398" s="912">
        <f t="shared" si="229"/>
        <v>0</v>
      </c>
      <c r="L398" s="912">
        <f t="shared" si="229"/>
        <v>0</v>
      </c>
      <c r="M398" s="912">
        <f t="shared" si="229"/>
        <v>0</v>
      </c>
      <c r="N398" s="913">
        <f t="shared" si="229"/>
        <v>0</v>
      </c>
    </row>
    <row r="399" spans="1:14" s="896" customFormat="1" ht="14">
      <c r="A399" s="2622"/>
      <c r="B399" s="2605"/>
      <c r="C399" s="1110" t="s">
        <v>2640</v>
      </c>
      <c r="D399" s="1111">
        <v>1</v>
      </c>
      <c r="E399" s="1112" t="s">
        <v>2639</v>
      </c>
      <c r="F399" s="911">
        <f t="shared" si="226"/>
        <v>0</v>
      </c>
      <c r="G399" s="912">
        <f>+G335+G378</f>
        <v>0</v>
      </c>
      <c r="H399" s="912">
        <f t="shared" ref="H399:N403" si="230">+H335+H378</f>
        <v>0</v>
      </c>
      <c r="I399" s="912">
        <f t="shared" si="230"/>
        <v>0</v>
      </c>
      <c r="J399" s="912">
        <f t="shared" si="230"/>
        <v>0</v>
      </c>
      <c r="K399" s="912">
        <f t="shared" si="230"/>
        <v>0</v>
      </c>
      <c r="L399" s="912">
        <f t="shared" si="230"/>
        <v>0</v>
      </c>
      <c r="M399" s="912">
        <f t="shared" si="230"/>
        <v>0</v>
      </c>
      <c r="N399" s="913">
        <f t="shared" si="230"/>
        <v>0</v>
      </c>
    </row>
    <row r="400" spans="1:14" s="896" customFormat="1" ht="14">
      <c r="A400" s="2622"/>
      <c r="B400" s="2606"/>
      <c r="C400" s="1110" t="s">
        <v>2641</v>
      </c>
      <c r="D400" s="1111">
        <v>1</v>
      </c>
      <c r="E400" s="1112" t="s">
        <v>2639</v>
      </c>
      <c r="F400" s="911">
        <f t="shared" si="226"/>
        <v>0</v>
      </c>
      <c r="G400" s="912">
        <f>+G336+G379</f>
        <v>0</v>
      </c>
      <c r="H400" s="912">
        <f t="shared" si="230"/>
        <v>0</v>
      </c>
      <c r="I400" s="912">
        <f t="shared" si="230"/>
        <v>0</v>
      </c>
      <c r="J400" s="912">
        <f t="shared" si="230"/>
        <v>0</v>
      </c>
      <c r="K400" s="912">
        <f t="shared" si="230"/>
        <v>0</v>
      </c>
      <c r="L400" s="912">
        <f t="shared" si="230"/>
        <v>0</v>
      </c>
      <c r="M400" s="912">
        <f t="shared" si="230"/>
        <v>0</v>
      </c>
      <c r="N400" s="913">
        <f t="shared" si="230"/>
        <v>0</v>
      </c>
    </row>
    <row r="401" spans="1:14" s="896" customFormat="1" ht="14">
      <c r="A401" s="2622"/>
      <c r="B401" s="2607" t="s">
        <v>2546</v>
      </c>
      <c r="C401" s="1110" t="s">
        <v>2642</v>
      </c>
      <c r="D401" s="1111">
        <v>1</v>
      </c>
      <c r="E401" s="1113">
        <v>0.02</v>
      </c>
      <c r="F401" s="911">
        <f t="shared" si="226"/>
        <v>0</v>
      </c>
      <c r="G401" s="912">
        <f>+G337+G380</f>
        <v>0</v>
      </c>
      <c r="H401" s="912">
        <f t="shared" si="230"/>
        <v>0</v>
      </c>
      <c r="I401" s="912">
        <f t="shared" si="230"/>
        <v>0</v>
      </c>
      <c r="J401" s="912">
        <f t="shared" si="230"/>
        <v>0</v>
      </c>
      <c r="K401" s="912">
        <f t="shared" si="230"/>
        <v>0</v>
      </c>
      <c r="L401" s="912">
        <f t="shared" si="230"/>
        <v>0</v>
      </c>
      <c r="M401" s="912">
        <f t="shared" si="230"/>
        <v>0</v>
      </c>
      <c r="N401" s="913">
        <f t="shared" si="230"/>
        <v>0</v>
      </c>
    </row>
    <row r="402" spans="1:14" s="896" customFormat="1" ht="14">
      <c r="A402" s="2622"/>
      <c r="B402" s="2605"/>
      <c r="C402" s="1110" t="s">
        <v>2643</v>
      </c>
      <c r="D402" s="1111">
        <v>1</v>
      </c>
      <c r="E402" s="1113">
        <v>0.02</v>
      </c>
      <c r="F402" s="911">
        <f t="shared" si="226"/>
        <v>0</v>
      </c>
      <c r="G402" s="912">
        <f>+G338+G381</f>
        <v>0</v>
      </c>
      <c r="H402" s="912">
        <f t="shared" si="230"/>
        <v>0</v>
      </c>
      <c r="I402" s="912">
        <f t="shared" si="230"/>
        <v>0</v>
      </c>
      <c r="J402" s="912">
        <f t="shared" si="230"/>
        <v>0</v>
      </c>
      <c r="K402" s="912">
        <f t="shared" si="230"/>
        <v>0</v>
      </c>
      <c r="L402" s="912">
        <f t="shared" si="230"/>
        <v>0</v>
      </c>
      <c r="M402" s="912">
        <f t="shared" si="230"/>
        <v>0</v>
      </c>
      <c r="N402" s="913">
        <f t="shared" si="230"/>
        <v>0</v>
      </c>
    </row>
    <row r="403" spans="1:14" s="896" customFormat="1" ht="14">
      <c r="A403" s="2622"/>
      <c r="B403" s="2605"/>
      <c r="C403" s="1110" t="s">
        <v>2549</v>
      </c>
      <c r="D403" s="1111">
        <v>1</v>
      </c>
      <c r="E403" s="1113">
        <v>0.02</v>
      </c>
      <c r="F403" s="911">
        <f t="shared" si="226"/>
        <v>5679937</v>
      </c>
      <c r="G403" s="912">
        <f>+G339+G382</f>
        <v>3658220</v>
      </c>
      <c r="H403" s="912">
        <f t="shared" si="230"/>
        <v>0</v>
      </c>
      <c r="I403" s="912">
        <f t="shared" si="230"/>
        <v>2021717</v>
      </c>
      <c r="J403" s="912">
        <f t="shared" si="230"/>
        <v>0</v>
      </c>
      <c r="K403" s="912">
        <f t="shared" si="230"/>
        <v>0</v>
      </c>
      <c r="L403" s="912">
        <f t="shared" si="230"/>
        <v>0</v>
      </c>
      <c r="M403" s="912">
        <f t="shared" si="230"/>
        <v>0</v>
      </c>
      <c r="N403" s="913">
        <f t="shared" si="230"/>
        <v>0</v>
      </c>
    </row>
    <row r="404" spans="1:14" s="896" customFormat="1" ht="14">
      <c r="A404" s="2622"/>
      <c r="B404" s="2605"/>
      <c r="C404" s="1110" t="s">
        <v>2629</v>
      </c>
      <c r="D404" s="1111"/>
      <c r="E404" s="1113"/>
      <c r="F404" s="911"/>
      <c r="G404" s="912"/>
      <c r="H404" s="912"/>
      <c r="I404" s="912"/>
      <c r="J404" s="912"/>
      <c r="K404" s="912"/>
      <c r="L404" s="912"/>
      <c r="M404" s="912"/>
      <c r="N404" s="913"/>
    </row>
    <row r="405" spans="1:14" s="896" customFormat="1" ht="14">
      <c r="A405" s="2622"/>
      <c r="B405" s="2605"/>
      <c r="C405" s="1110" t="s">
        <v>2551</v>
      </c>
      <c r="D405" s="1111"/>
      <c r="E405" s="1113"/>
      <c r="F405" s="911"/>
      <c r="G405" s="912"/>
      <c r="H405" s="912"/>
      <c r="I405" s="912"/>
      <c r="J405" s="912"/>
      <c r="K405" s="912"/>
      <c r="L405" s="912"/>
      <c r="M405" s="912"/>
      <c r="N405" s="913"/>
    </row>
    <row r="406" spans="1:14" s="896" customFormat="1" ht="14">
      <c r="A406" s="2622"/>
      <c r="B406" s="2605"/>
      <c r="C406" s="1110" t="s">
        <v>2552</v>
      </c>
      <c r="D406" s="1111">
        <v>1</v>
      </c>
      <c r="E406" s="1113">
        <v>0.02</v>
      </c>
      <c r="F406" s="911">
        <f>SUM(G406:N406)</f>
        <v>0</v>
      </c>
      <c r="G406" s="912">
        <f t="shared" ref="G406:N409" si="231">+G342+G385</f>
        <v>0</v>
      </c>
      <c r="H406" s="912">
        <f t="shared" si="231"/>
        <v>0</v>
      </c>
      <c r="I406" s="912">
        <f t="shared" si="231"/>
        <v>0</v>
      </c>
      <c r="J406" s="912">
        <f t="shared" si="231"/>
        <v>0</v>
      </c>
      <c r="K406" s="912">
        <f t="shared" si="231"/>
        <v>0</v>
      </c>
      <c r="L406" s="912">
        <f t="shared" si="231"/>
        <v>0</v>
      </c>
      <c r="M406" s="912">
        <f t="shared" si="231"/>
        <v>0</v>
      </c>
      <c r="N406" s="913">
        <f t="shared" si="231"/>
        <v>0</v>
      </c>
    </row>
    <row r="407" spans="1:14" s="896" customFormat="1" ht="14">
      <c r="A407" s="2622"/>
      <c r="B407" s="2605"/>
      <c r="C407" s="1114" t="s">
        <v>2553</v>
      </c>
      <c r="D407" s="1111">
        <v>1</v>
      </c>
      <c r="E407" s="1113">
        <v>0.02</v>
      </c>
      <c r="F407" s="911">
        <f>SUM(G407:N407)</f>
        <v>0</v>
      </c>
      <c r="G407" s="912">
        <f t="shared" si="231"/>
        <v>0</v>
      </c>
      <c r="H407" s="912">
        <f t="shared" si="231"/>
        <v>0</v>
      </c>
      <c r="I407" s="912">
        <f t="shared" si="231"/>
        <v>0</v>
      </c>
      <c r="J407" s="912">
        <f t="shared" si="231"/>
        <v>0</v>
      </c>
      <c r="K407" s="912">
        <f t="shared" si="231"/>
        <v>0</v>
      </c>
      <c r="L407" s="912">
        <f t="shared" si="231"/>
        <v>0</v>
      </c>
      <c r="M407" s="912">
        <f t="shared" si="231"/>
        <v>0</v>
      </c>
      <c r="N407" s="913">
        <f t="shared" si="231"/>
        <v>0</v>
      </c>
    </row>
    <row r="408" spans="1:14" s="896" customFormat="1" ht="14">
      <c r="A408" s="2622"/>
      <c r="B408" s="2605"/>
      <c r="C408" s="1114" t="s">
        <v>2631</v>
      </c>
      <c r="D408" s="1111">
        <v>1</v>
      </c>
      <c r="E408" s="1113">
        <v>0.02</v>
      </c>
      <c r="F408" s="911">
        <f>SUM(G408:N408)</f>
        <v>0</v>
      </c>
      <c r="G408" s="912">
        <f t="shared" si="231"/>
        <v>0</v>
      </c>
      <c r="H408" s="912">
        <f t="shared" si="231"/>
        <v>0</v>
      </c>
      <c r="I408" s="912">
        <f t="shared" si="231"/>
        <v>0</v>
      </c>
      <c r="J408" s="912">
        <f t="shared" si="231"/>
        <v>0</v>
      </c>
      <c r="K408" s="912">
        <f t="shared" si="231"/>
        <v>0</v>
      </c>
      <c r="L408" s="912">
        <f t="shared" si="231"/>
        <v>0</v>
      </c>
      <c r="M408" s="912">
        <f t="shared" si="231"/>
        <v>0</v>
      </c>
      <c r="N408" s="913">
        <f t="shared" si="231"/>
        <v>0</v>
      </c>
    </row>
    <row r="409" spans="1:14" s="896" customFormat="1" ht="14">
      <c r="A409" s="2622"/>
      <c r="B409" s="2606"/>
      <c r="C409" s="1110" t="s">
        <v>2555</v>
      </c>
      <c r="D409" s="1111">
        <v>1</v>
      </c>
      <c r="E409" s="1113">
        <v>0.02</v>
      </c>
      <c r="F409" s="911">
        <f>SUM(G409:N409)</f>
        <v>0</v>
      </c>
      <c r="G409" s="912">
        <f t="shared" si="231"/>
        <v>0</v>
      </c>
      <c r="H409" s="912">
        <f t="shared" si="231"/>
        <v>0</v>
      </c>
      <c r="I409" s="912">
        <f t="shared" si="231"/>
        <v>0</v>
      </c>
      <c r="J409" s="912">
        <f t="shared" si="231"/>
        <v>0</v>
      </c>
      <c r="K409" s="912">
        <f t="shared" si="231"/>
        <v>0</v>
      </c>
      <c r="L409" s="912">
        <f t="shared" si="231"/>
        <v>0</v>
      </c>
      <c r="M409" s="912">
        <f t="shared" si="231"/>
        <v>0</v>
      </c>
      <c r="N409" s="913">
        <f t="shared" si="231"/>
        <v>0</v>
      </c>
    </row>
    <row r="410" spans="1:14" s="896" customFormat="1" ht="14">
      <c r="A410" s="2623"/>
      <c r="B410" s="1115" t="s">
        <v>2644</v>
      </c>
      <c r="C410" s="1154" t="s">
        <v>2659</v>
      </c>
      <c r="D410" s="1117">
        <v>1</v>
      </c>
      <c r="E410" s="1118">
        <v>0</v>
      </c>
      <c r="F410" s="946">
        <f>SUM(G410:N410)</f>
        <v>602934</v>
      </c>
      <c r="G410" s="1073">
        <f t="shared" ref="G410:N410" si="232">SUM(G346:G352)</f>
        <v>96063</v>
      </c>
      <c r="H410" s="1073">
        <f t="shared" si="232"/>
        <v>13658</v>
      </c>
      <c r="I410" s="1073">
        <f t="shared" si="232"/>
        <v>493213</v>
      </c>
      <c r="J410" s="1073">
        <f t="shared" si="232"/>
        <v>0</v>
      </c>
      <c r="K410" s="1073">
        <f t="shared" si="232"/>
        <v>0</v>
      </c>
      <c r="L410" s="1073">
        <f t="shared" si="232"/>
        <v>0</v>
      </c>
      <c r="M410" s="1073">
        <f t="shared" si="232"/>
        <v>0</v>
      </c>
      <c r="N410" s="1074">
        <f t="shared" si="232"/>
        <v>0</v>
      </c>
    </row>
    <row r="411" spans="1:14" s="896" customFormat="1" ht="14">
      <c r="A411" s="1119"/>
      <c r="B411" s="1120"/>
      <c r="C411" s="1121"/>
      <c r="D411" s="2624"/>
      <c r="E411" s="2624"/>
      <c r="F411" s="1108"/>
      <c r="G411" s="1109"/>
      <c r="H411" s="1109"/>
      <c r="I411" s="1109"/>
      <c r="J411" s="1109"/>
      <c r="K411" s="1109"/>
      <c r="L411" s="1109"/>
      <c r="M411" s="1109"/>
      <c r="N411" s="1122"/>
    </row>
    <row r="412" spans="1:14" s="896" customFormat="1" ht="14">
      <c r="A412" s="2618" t="s">
        <v>2660</v>
      </c>
      <c r="B412" s="2619"/>
      <c r="C412" s="2620"/>
      <c r="D412" s="2625"/>
      <c r="E412" s="2625"/>
      <c r="F412" s="1101"/>
      <c r="G412" s="1102"/>
      <c r="H412" s="1102"/>
      <c r="I412" s="1102"/>
      <c r="J412" s="1102"/>
      <c r="K412" s="1102"/>
      <c r="L412" s="1102"/>
      <c r="M412" s="1102"/>
      <c r="N412" s="1103"/>
    </row>
    <row r="413" spans="1:14" s="896" customFormat="1" ht="14">
      <c r="A413" s="2621"/>
      <c r="B413" s="2604" t="s">
        <v>2541</v>
      </c>
      <c r="C413" s="1123" t="s">
        <v>2542</v>
      </c>
      <c r="D413" s="1124"/>
      <c r="E413" s="1125" t="s">
        <v>2639</v>
      </c>
      <c r="F413" s="1126" t="s">
        <v>2647</v>
      </c>
      <c r="G413" s="1127">
        <f t="shared" ref="G413:N413" si="233">IF(G397=0,0,+G497/100)</f>
        <v>0</v>
      </c>
      <c r="H413" s="1127">
        <f t="shared" si="233"/>
        <v>0</v>
      </c>
      <c r="I413" s="1127">
        <f t="shared" si="233"/>
        <v>0</v>
      </c>
      <c r="J413" s="1127">
        <f t="shared" si="233"/>
        <v>0</v>
      </c>
      <c r="K413" s="1127">
        <f t="shared" si="233"/>
        <v>0</v>
      </c>
      <c r="L413" s="1127">
        <f t="shared" si="233"/>
        <v>0</v>
      </c>
      <c r="M413" s="1127">
        <f t="shared" si="233"/>
        <v>0</v>
      </c>
      <c r="N413" s="1128">
        <f t="shared" si="233"/>
        <v>0</v>
      </c>
    </row>
    <row r="414" spans="1:14" s="896" customFormat="1" ht="14">
      <c r="A414" s="2622"/>
      <c r="B414" s="2605"/>
      <c r="C414" s="1129"/>
      <c r="D414" s="1130">
        <f>+D397</f>
        <v>1</v>
      </c>
      <c r="E414" s="1131" t="s">
        <v>2639</v>
      </c>
      <c r="F414" s="1064">
        <f>SUM(G414:N414)</f>
        <v>0</v>
      </c>
      <c r="G414" s="1080">
        <f t="shared" ref="G414:N414" si="234">ROUNDDOWN(G397*G413*$D414,0)</f>
        <v>0</v>
      </c>
      <c r="H414" s="1080">
        <f t="shared" si="234"/>
        <v>0</v>
      </c>
      <c r="I414" s="1080">
        <f t="shared" si="234"/>
        <v>0</v>
      </c>
      <c r="J414" s="1080">
        <f t="shared" si="234"/>
        <v>0</v>
      </c>
      <c r="K414" s="1080">
        <f t="shared" si="234"/>
        <v>0</v>
      </c>
      <c r="L414" s="1080">
        <f t="shared" si="234"/>
        <v>0</v>
      </c>
      <c r="M414" s="1080">
        <f t="shared" si="234"/>
        <v>0</v>
      </c>
      <c r="N414" s="1081">
        <f t="shared" si="234"/>
        <v>0</v>
      </c>
    </row>
    <row r="415" spans="1:14" s="896" customFormat="1" ht="14">
      <c r="A415" s="2622"/>
      <c r="B415" s="2605"/>
      <c r="C415" s="1132" t="s">
        <v>2543</v>
      </c>
      <c r="D415" s="1133"/>
      <c r="E415" s="1131" t="s">
        <v>2639</v>
      </c>
      <c r="F415" s="1134" t="s">
        <v>2647</v>
      </c>
      <c r="G415" s="1155">
        <f t="shared" ref="G415:N415" si="235">IF(G398=0,0,+G505/100)</f>
        <v>0.11470000000000001</v>
      </c>
      <c r="H415" s="1135">
        <f>IF(H398=0,0,+H505/100)</f>
        <v>9.4100000000000003E-2</v>
      </c>
      <c r="I415" s="1135">
        <f t="shared" si="235"/>
        <v>0.11470000000000001</v>
      </c>
      <c r="J415" s="1135">
        <f t="shared" si="235"/>
        <v>0</v>
      </c>
      <c r="K415" s="1135">
        <f t="shared" si="235"/>
        <v>0</v>
      </c>
      <c r="L415" s="1135">
        <f t="shared" si="235"/>
        <v>0</v>
      </c>
      <c r="M415" s="1135">
        <f t="shared" si="235"/>
        <v>0</v>
      </c>
      <c r="N415" s="1136">
        <f t="shared" si="235"/>
        <v>0</v>
      </c>
    </row>
    <row r="416" spans="1:14" s="896" customFormat="1" ht="14">
      <c r="A416" s="2622"/>
      <c r="B416" s="2605"/>
      <c r="C416" s="1129"/>
      <c r="D416" s="1137">
        <f t="shared" ref="D416:D421" si="236">+D398</f>
        <v>1</v>
      </c>
      <c r="E416" s="1131" t="s">
        <v>2639</v>
      </c>
      <c r="F416" s="1064">
        <f t="shared" ref="F416:F421" si="237">SUM(G416:N416)</f>
        <v>23432198</v>
      </c>
      <c r="G416" s="1080">
        <f t="shared" ref="G416:N416" si="238">ROUNDDOWN(G398*G415*$D416,0)</f>
        <v>5051609</v>
      </c>
      <c r="H416" s="1080">
        <f t="shared" si="238"/>
        <v>2719515</v>
      </c>
      <c r="I416" s="1080">
        <f t="shared" si="238"/>
        <v>15661074</v>
      </c>
      <c r="J416" s="1080">
        <f t="shared" si="238"/>
        <v>0</v>
      </c>
      <c r="K416" s="1080">
        <f t="shared" si="238"/>
        <v>0</v>
      </c>
      <c r="L416" s="1080">
        <f t="shared" si="238"/>
        <v>0</v>
      </c>
      <c r="M416" s="1080">
        <f t="shared" si="238"/>
        <v>0</v>
      </c>
      <c r="N416" s="1081">
        <f t="shared" si="238"/>
        <v>0</v>
      </c>
    </row>
    <row r="417" spans="1:14" s="896" customFormat="1" ht="14">
      <c r="A417" s="2622"/>
      <c r="B417" s="2605"/>
      <c r="C417" s="1110" t="s">
        <v>2565</v>
      </c>
      <c r="D417" s="1138">
        <f t="shared" si="236"/>
        <v>1</v>
      </c>
      <c r="E417" s="1131" t="s">
        <v>2639</v>
      </c>
      <c r="F417" s="1064">
        <f t="shared" si="237"/>
        <v>0</v>
      </c>
      <c r="G417" s="1080">
        <f t="shared" ref="G417:N417" si="239">ROUNDDOWN(G399*G413*$D417,0)</f>
        <v>0</v>
      </c>
      <c r="H417" s="1080">
        <f t="shared" si="239"/>
        <v>0</v>
      </c>
      <c r="I417" s="1080">
        <f t="shared" si="239"/>
        <v>0</v>
      </c>
      <c r="J417" s="1080">
        <f t="shared" si="239"/>
        <v>0</v>
      </c>
      <c r="K417" s="1080">
        <f t="shared" si="239"/>
        <v>0</v>
      </c>
      <c r="L417" s="1080">
        <f t="shared" si="239"/>
        <v>0</v>
      </c>
      <c r="M417" s="1080">
        <f t="shared" si="239"/>
        <v>0</v>
      </c>
      <c r="N417" s="1081">
        <f t="shared" si="239"/>
        <v>0</v>
      </c>
    </row>
    <row r="418" spans="1:14" s="896" customFormat="1" ht="14">
      <c r="A418" s="2622"/>
      <c r="B418" s="2606"/>
      <c r="C418" s="1110" t="s">
        <v>2566</v>
      </c>
      <c r="D418" s="1138">
        <f t="shared" si="236"/>
        <v>1</v>
      </c>
      <c r="E418" s="1131" t="s">
        <v>2639</v>
      </c>
      <c r="F418" s="1064">
        <f t="shared" si="237"/>
        <v>0</v>
      </c>
      <c r="G418" s="1080">
        <f t="shared" ref="G418:N418" si="240">ROUNDDOWN(G400*G415*$D418,0)</f>
        <v>0</v>
      </c>
      <c r="H418" s="1080">
        <f t="shared" si="240"/>
        <v>0</v>
      </c>
      <c r="I418" s="1080">
        <f t="shared" si="240"/>
        <v>0</v>
      </c>
      <c r="J418" s="1080">
        <f t="shared" si="240"/>
        <v>0</v>
      </c>
      <c r="K418" s="1080">
        <f t="shared" si="240"/>
        <v>0</v>
      </c>
      <c r="L418" s="1080">
        <f t="shared" si="240"/>
        <v>0</v>
      </c>
      <c r="M418" s="1080">
        <f t="shared" si="240"/>
        <v>0</v>
      </c>
      <c r="N418" s="1081">
        <f t="shared" si="240"/>
        <v>0</v>
      </c>
    </row>
    <row r="419" spans="1:14" s="896" customFormat="1" ht="14">
      <c r="A419" s="2622"/>
      <c r="B419" s="2607" t="s">
        <v>2546</v>
      </c>
      <c r="C419" s="1110" t="s">
        <v>2642</v>
      </c>
      <c r="D419" s="1138">
        <f t="shared" si="236"/>
        <v>1</v>
      </c>
      <c r="E419" s="1113">
        <f>+E401</f>
        <v>0.02</v>
      </c>
      <c r="F419" s="1064">
        <f t="shared" si="237"/>
        <v>0</v>
      </c>
      <c r="G419" s="1080">
        <f t="shared" ref="G419:N427" si="241">ROUNDDOWN(G401*$E419*$D419,0)</f>
        <v>0</v>
      </c>
      <c r="H419" s="1080">
        <f t="shared" si="241"/>
        <v>0</v>
      </c>
      <c r="I419" s="1080">
        <f t="shared" si="241"/>
        <v>0</v>
      </c>
      <c r="J419" s="1080">
        <f t="shared" si="241"/>
        <v>0</v>
      </c>
      <c r="K419" s="1080">
        <f t="shared" si="241"/>
        <v>0</v>
      </c>
      <c r="L419" s="1080">
        <f t="shared" si="241"/>
        <v>0</v>
      </c>
      <c r="M419" s="1080">
        <f t="shared" si="241"/>
        <v>0</v>
      </c>
      <c r="N419" s="1081">
        <f t="shared" si="241"/>
        <v>0</v>
      </c>
    </row>
    <row r="420" spans="1:14" s="896" customFormat="1" ht="14">
      <c r="A420" s="2622"/>
      <c r="B420" s="2605"/>
      <c r="C420" s="1110" t="s">
        <v>2648</v>
      </c>
      <c r="D420" s="1138">
        <f t="shared" si="236"/>
        <v>1</v>
      </c>
      <c r="E420" s="1113">
        <f>+E402</f>
        <v>0.02</v>
      </c>
      <c r="F420" s="1064">
        <f t="shared" si="237"/>
        <v>0</v>
      </c>
      <c r="G420" s="1080">
        <f t="shared" si="241"/>
        <v>0</v>
      </c>
      <c r="H420" s="1080">
        <f t="shared" si="241"/>
        <v>0</v>
      </c>
      <c r="I420" s="1080">
        <f>ROUNDDOWN(I402*$E420*$D420,0)</f>
        <v>0</v>
      </c>
      <c r="J420" s="1080">
        <f>ROUNDDOWN(J402*$E420*$D420,0)</f>
        <v>0</v>
      </c>
      <c r="K420" s="1080">
        <f t="shared" si="241"/>
        <v>0</v>
      </c>
      <c r="L420" s="1080">
        <f t="shared" si="241"/>
        <v>0</v>
      </c>
      <c r="M420" s="1080">
        <f t="shared" si="241"/>
        <v>0</v>
      </c>
      <c r="N420" s="1081">
        <f t="shared" si="241"/>
        <v>0</v>
      </c>
    </row>
    <row r="421" spans="1:14" s="896" customFormat="1" ht="14">
      <c r="A421" s="2622"/>
      <c r="B421" s="2605"/>
      <c r="C421" s="1110" t="s">
        <v>2549</v>
      </c>
      <c r="D421" s="1138">
        <f t="shared" si="236"/>
        <v>1</v>
      </c>
      <c r="E421" s="1113">
        <f>+E403</f>
        <v>0.02</v>
      </c>
      <c r="F421" s="1064">
        <f t="shared" si="237"/>
        <v>113598</v>
      </c>
      <c r="G421" s="1080">
        <f t="shared" si="241"/>
        <v>73164</v>
      </c>
      <c r="H421" s="1080">
        <f t="shared" si="241"/>
        <v>0</v>
      </c>
      <c r="I421" s="1080">
        <f>ROUNDDOWN(I403*$E421*$D421,0)</f>
        <v>40434</v>
      </c>
      <c r="J421" s="1080">
        <f>ROUNDDOWN(J403*$E421*$D421,0)</f>
        <v>0</v>
      </c>
      <c r="K421" s="1080">
        <f t="shared" si="241"/>
        <v>0</v>
      </c>
      <c r="L421" s="1080">
        <f t="shared" si="241"/>
        <v>0</v>
      </c>
      <c r="M421" s="1080">
        <f t="shared" si="241"/>
        <v>0</v>
      </c>
      <c r="N421" s="1081">
        <f t="shared" si="241"/>
        <v>0</v>
      </c>
    </row>
    <row r="422" spans="1:14" s="896" customFormat="1" ht="14">
      <c r="A422" s="2622"/>
      <c r="B422" s="2605"/>
      <c r="C422" s="1110" t="s">
        <v>2629</v>
      </c>
      <c r="D422" s="1138"/>
      <c r="E422" s="1113"/>
      <c r="F422" s="1064"/>
      <c r="G422" s="1080"/>
      <c r="H422" s="1080"/>
      <c r="I422" s="1080"/>
      <c r="J422" s="1080"/>
      <c r="K422" s="1080"/>
      <c r="L422" s="1080"/>
      <c r="M422" s="1080"/>
      <c r="N422" s="1081"/>
    </row>
    <row r="423" spans="1:14" s="896" customFormat="1" ht="14">
      <c r="A423" s="2622"/>
      <c r="B423" s="2605"/>
      <c r="C423" s="1139"/>
      <c r="D423" s="1138"/>
      <c r="E423" s="1113"/>
      <c r="F423" s="1064"/>
      <c r="G423" s="1080"/>
      <c r="H423" s="1080"/>
      <c r="I423" s="1080"/>
      <c r="J423" s="1080"/>
      <c r="K423" s="1080"/>
      <c r="L423" s="1080"/>
      <c r="M423" s="1080"/>
      <c r="N423" s="1081"/>
    </row>
    <row r="424" spans="1:14" s="896" customFormat="1" ht="14">
      <c r="A424" s="2622"/>
      <c r="B424" s="2605"/>
      <c r="C424" s="1110" t="s">
        <v>2552</v>
      </c>
      <c r="D424" s="1138">
        <f t="shared" ref="D424:E427" si="242">+D406</f>
        <v>1</v>
      </c>
      <c r="E424" s="1113">
        <f t="shared" si="242"/>
        <v>0.02</v>
      </c>
      <c r="F424" s="1064">
        <f t="shared" ref="F424:F432" si="243">SUM(G424:N424)</f>
        <v>0</v>
      </c>
      <c r="G424" s="1080">
        <f t="shared" ref="G424:J427" si="244">ROUNDDOWN(G406*$E424*$D424,0)</f>
        <v>0</v>
      </c>
      <c r="H424" s="1080">
        <f t="shared" si="244"/>
        <v>0</v>
      </c>
      <c r="I424" s="1080">
        <f t="shared" si="244"/>
        <v>0</v>
      </c>
      <c r="J424" s="1080">
        <f t="shared" si="244"/>
        <v>0</v>
      </c>
      <c r="K424" s="1080">
        <f t="shared" si="241"/>
        <v>0</v>
      </c>
      <c r="L424" s="1080">
        <f t="shared" si="241"/>
        <v>0</v>
      </c>
      <c r="M424" s="1080">
        <f t="shared" si="241"/>
        <v>0</v>
      </c>
      <c r="N424" s="1081">
        <f t="shared" si="241"/>
        <v>0</v>
      </c>
    </row>
    <row r="425" spans="1:14" s="896" customFormat="1" ht="14">
      <c r="A425" s="2622"/>
      <c r="B425" s="2605"/>
      <c r="C425" s="1114" t="s">
        <v>2553</v>
      </c>
      <c r="D425" s="1138">
        <f t="shared" si="242"/>
        <v>1</v>
      </c>
      <c r="E425" s="1113">
        <f t="shared" si="242"/>
        <v>0.02</v>
      </c>
      <c r="F425" s="1064">
        <f t="shared" si="243"/>
        <v>0</v>
      </c>
      <c r="G425" s="1080">
        <f t="shared" si="244"/>
        <v>0</v>
      </c>
      <c r="H425" s="1080">
        <f t="shared" si="244"/>
        <v>0</v>
      </c>
      <c r="I425" s="1080">
        <f t="shared" si="244"/>
        <v>0</v>
      </c>
      <c r="J425" s="1080">
        <f t="shared" si="244"/>
        <v>0</v>
      </c>
      <c r="K425" s="1080">
        <f t="shared" si="241"/>
        <v>0</v>
      </c>
      <c r="L425" s="1080">
        <f t="shared" si="241"/>
        <v>0</v>
      </c>
      <c r="M425" s="1080">
        <f t="shared" si="241"/>
        <v>0</v>
      </c>
      <c r="N425" s="1081">
        <f t="shared" si="241"/>
        <v>0</v>
      </c>
    </row>
    <row r="426" spans="1:14" s="896" customFormat="1" ht="14">
      <c r="A426" s="2622"/>
      <c r="B426" s="2605"/>
      <c r="C426" s="1114" t="s">
        <v>2631</v>
      </c>
      <c r="D426" s="1138">
        <f t="shared" si="242"/>
        <v>1</v>
      </c>
      <c r="E426" s="1113">
        <f t="shared" si="242"/>
        <v>0.02</v>
      </c>
      <c r="F426" s="1064">
        <f t="shared" si="243"/>
        <v>0</v>
      </c>
      <c r="G426" s="1080">
        <f t="shared" si="244"/>
        <v>0</v>
      </c>
      <c r="H426" s="1080">
        <f t="shared" si="244"/>
        <v>0</v>
      </c>
      <c r="I426" s="1080">
        <f t="shared" si="244"/>
        <v>0</v>
      </c>
      <c r="J426" s="1080">
        <f t="shared" si="244"/>
        <v>0</v>
      </c>
      <c r="K426" s="1080">
        <f t="shared" si="241"/>
        <v>0</v>
      </c>
      <c r="L426" s="1080">
        <f t="shared" si="241"/>
        <v>0</v>
      </c>
      <c r="M426" s="1080">
        <f t="shared" si="241"/>
        <v>0</v>
      </c>
      <c r="N426" s="1081">
        <f t="shared" si="241"/>
        <v>0</v>
      </c>
    </row>
    <row r="427" spans="1:14" s="896" customFormat="1" ht="14">
      <c r="A427" s="2622"/>
      <c r="B427" s="2606"/>
      <c r="C427" s="1110" t="s">
        <v>2661</v>
      </c>
      <c r="D427" s="1138">
        <f t="shared" si="242"/>
        <v>1</v>
      </c>
      <c r="E427" s="1113">
        <f t="shared" si="242"/>
        <v>0.02</v>
      </c>
      <c r="F427" s="1064">
        <f t="shared" si="243"/>
        <v>0</v>
      </c>
      <c r="G427" s="1080">
        <f t="shared" si="244"/>
        <v>0</v>
      </c>
      <c r="H427" s="1080">
        <f t="shared" si="244"/>
        <v>0</v>
      </c>
      <c r="I427" s="1080">
        <f t="shared" si="244"/>
        <v>0</v>
      </c>
      <c r="J427" s="1080">
        <f t="shared" si="244"/>
        <v>0</v>
      </c>
      <c r="K427" s="1080">
        <f t="shared" si="241"/>
        <v>0</v>
      </c>
      <c r="L427" s="1080">
        <f t="shared" si="241"/>
        <v>0</v>
      </c>
      <c r="M427" s="1080">
        <f t="shared" si="241"/>
        <v>0</v>
      </c>
      <c r="N427" s="1081">
        <f t="shared" si="241"/>
        <v>0</v>
      </c>
    </row>
    <row r="428" spans="1:14" s="896" customFormat="1" ht="14">
      <c r="A428" s="2622"/>
      <c r="B428" s="2643" t="s">
        <v>2662</v>
      </c>
      <c r="C428" s="1110" t="s">
        <v>2574</v>
      </c>
      <c r="D428" s="1156"/>
      <c r="E428" s="1157"/>
      <c r="F428" s="1064">
        <f t="shared" si="243"/>
        <v>0</v>
      </c>
      <c r="G428" s="1302">
        <f t="shared" ref="G428:N428" si="245">+G212+G59</f>
        <v>0</v>
      </c>
      <c r="H428" s="1302">
        <f t="shared" si="245"/>
        <v>0</v>
      </c>
      <c r="I428" s="1302">
        <f t="shared" si="245"/>
        <v>0</v>
      </c>
      <c r="J428" s="1302">
        <f t="shared" si="245"/>
        <v>0</v>
      </c>
      <c r="K428" s="1302">
        <f t="shared" si="245"/>
        <v>0</v>
      </c>
      <c r="L428" s="1302">
        <f t="shared" si="245"/>
        <v>0</v>
      </c>
      <c r="M428" s="1302">
        <f t="shared" si="245"/>
        <v>0</v>
      </c>
      <c r="N428" s="1303">
        <f t="shared" si="245"/>
        <v>0</v>
      </c>
    </row>
    <row r="429" spans="1:14" s="896" customFormat="1" ht="14">
      <c r="A429" s="2622"/>
      <c r="B429" s="2644"/>
      <c r="C429" s="1160" t="s">
        <v>2663</v>
      </c>
      <c r="D429" s="1156"/>
      <c r="E429" s="1157"/>
      <c r="F429" s="1064">
        <f t="shared" si="243"/>
        <v>0</v>
      </c>
      <c r="G429" s="912"/>
      <c r="H429" s="912"/>
      <c r="I429" s="912"/>
      <c r="J429" s="912"/>
      <c r="K429" s="912"/>
      <c r="L429" s="912"/>
      <c r="M429" s="912"/>
      <c r="N429" s="913"/>
    </row>
    <row r="430" spans="1:14" s="896" customFormat="1" ht="15" thickBot="1">
      <c r="A430" s="2626"/>
      <c r="B430" s="1161" t="s">
        <v>2644</v>
      </c>
      <c r="C430" s="1154" t="s">
        <v>2659</v>
      </c>
      <c r="D430" s="1156">
        <f>+D410</f>
        <v>1</v>
      </c>
      <c r="E430" s="1157">
        <f>+E410</f>
        <v>0</v>
      </c>
      <c r="F430" s="1064">
        <f t="shared" si="243"/>
        <v>0</v>
      </c>
      <c r="G430" s="1080">
        <f t="shared" ref="G430:N430" si="246">ROUNDDOWN(G410*$E430*$D430,0)</f>
        <v>0</v>
      </c>
      <c r="H430" s="1080">
        <f t="shared" si="246"/>
        <v>0</v>
      </c>
      <c r="I430" s="1080">
        <f t="shared" si="246"/>
        <v>0</v>
      </c>
      <c r="J430" s="1080">
        <f t="shared" si="246"/>
        <v>0</v>
      </c>
      <c r="K430" s="1080">
        <f t="shared" si="246"/>
        <v>0</v>
      </c>
      <c r="L430" s="1080">
        <f t="shared" si="246"/>
        <v>0</v>
      </c>
      <c r="M430" s="1080">
        <f t="shared" si="246"/>
        <v>0</v>
      </c>
      <c r="N430" s="1162">
        <f t="shared" si="246"/>
        <v>0</v>
      </c>
    </row>
    <row r="431" spans="1:14" s="896" customFormat="1" ht="15" thickTop="1">
      <c r="A431" s="1163"/>
      <c r="B431" s="1164"/>
      <c r="C431" s="1165" t="s">
        <v>2664</v>
      </c>
      <c r="D431" s="1166"/>
      <c r="E431" s="1167"/>
      <c r="F431" s="1168">
        <f t="shared" si="243"/>
        <v>23545796</v>
      </c>
      <c r="G431" s="1169">
        <f t="shared" ref="G431:N431" si="247">SUM(G416:G430)+G414</f>
        <v>5124773</v>
      </c>
      <c r="H431" s="1169">
        <f t="shared" si="247"/>
        <v>2719515</v>
      </c>
      <c r="I431" s="1169">
        <f t="shared" si="247"/>
        <v>15701508</v>
      </c>
      <c r="J431" s="1169">
        <f t="shared" si="247"/>
        <v>0</v>
      </c>
      <c r="K431" s="1169">
        <f t="shared" si="247"/>
        <v>0</v>
      </c>
      <c r="L431" s="1169">
        <f t="shared" si="247"/>
        <v>0</v>
      </c>
      <c r="M431" s="1169">
        <f t="shared" si="247"/>
        <v>0</v>
      </c>
      <c r="N431" s="1170">
        <f t="shared" si="247"/>
        <v>0</v>
      </c>
    </row>
    <row r="432" spans="1:14" s="896" customFormat="1" ht="14">
      <c r="A432" s="1171"/>
      <c r="B432" s="1172"/>
      <c r="C432" s="1072" t="s">
        <v>2665</v>
      </c>
      <c r="D432" s="1173"/>
      <c r="E432" s="945"/>
      <c r="F432" s="946">
        <f t="shared" si="243"/>
        <v>239310322</v>
      </c>
      <c r="G432" s="1073">
        <f t="shared" ref="G432:N432" si="248">+G307+G431</f>
        <v>52920991</v>
      </c>
      <c r="H432" s="1073">
        <f t="shared" si="248"/>
        <v>31633449</v>
      </c>
      <c r="I432" s="1073">
        <f t="shared" si="248"/>
        <v>154755882</v>
      </c>
      <c r="J432" s="1073">
        <f t="shared" si="248"/>
        <v>0</v>
      </c>
      <c r="K432" s="1073">
        <f t="shared" si="248"/>
        <v>0</v>
      </c>
      <c r="L432" s="1073">
        <f t="shared" si="248"/>
        <v>0</v>
      </c>
      <c r="M432" s="1073">
        <f t="shared" si="248"/>
        <v>0</v>
      </c>
      <c r="N432" s="1074">
        <f t="shared" si="248"/>
        <v>0</v>
      </c>
    </row>
    <row r="433" spans="1:14" s="896" customFormat="1" ht="14">
      <c r="A433" s="877"/>
      <c r="B433" s="878"/>
      <c r="C433" s="1310" t="s">
        <v>2728</v>
      </c>
      <c r="D433" s="1310"/>
      <c r="E433" s="1311"/>
      <c r="F433" s="1312"/>
      <c r="G433" s="1313"/>
      <c r="H433" s="1314"/>
      <c r="I433" s="1314"/>
      <c r="J433" s="1314"/>
      <c r="K433" s="1314"/>
      <c r="L433" s="1314"/>
      <c r="M433" s="1314"/>
      <c r="N433" s="1315" t="s">
        <v>2729</v>
      </c>
    </row>
    <row r="434" spans="1:14" s="896" customFormat="1" ht="14">
      <c r="A434" s="1294"/>
      <c r="B434" s="1295"/>
      <c r="C434" s="1295"/>
      <c r="D434" s="1295"/>
      <c r="E434" s="1295"/>
      <c r="F434" s="1043"/>
      <c r="G434" s="1046"/>
      <c r="H434" s="1046"/>
      <c r="I434" s="1046"/>
      <c r="J434" s="1046"/>
      <c r="K434" s="1046"/>
      <c r="L434" s="1046"/>
      <c r="M434" s="1046"/>
      <c r="N434" s="1316"/>
    </row>
    <row r="435" spans="1:14" s="896" customFormat="1" ht="14">
      <c r="A435" s="2627"/>
      <c r="B435" s="2628"/>
      <c r="C435" s="2629"/>
      <c r="D435" s="1175"/>
      <c r="E435" s="1091" t="s">
        <v>2668</v>
      </c>
      <c r="F435" s="1092" t="s">
        <v>2517</v>
      </c>
      <c r="G435" s="1093" t="str">
        <f t="shared" ref="G435:N435" si="249">+G302</f>
        <v>工事6</v>
      </c>
      <c r="H435" s="1093" t="str">
        <f t="shared" si="249"/>
        <v>工事7</v>
      </c>
      <c r="I435" s="1093" t="str">
        <f t="shared" si="249"/>
        <v>工事8</v>
      </c>
      <c r="J435" s="1093">
        <f t="shared" si="249"/>
        <v>0</v>
      </c>
      <c r="K435" s="1093">
        <f t="shared" si="249"/>
        <v>0</v>
      </c>
      <c r="L435" s="1093">
        <f t="shared" si="249"/>
        <v>0</v>
      </c>
      <c r="M435" s="1093">
        <f t="shared" si="249"/>
        <v>0</v>
      </c>
      <c r="N435" s="1094">
        <f t="shared" si="249"/>
        <v>0</v>
      </c>
    </row>
    <row r="436" spans="1:14" s="896" customFormat="1" ht="15" thickBot="1">
      <c r="A436" s="2630"/>
      <c r="B436" s="2631"/>
      <c r="C436" s="2632"/>
      <c r="D436" s="1176"/>
      <c r="E436" s="1177"/>
      <c r="F436" s="1053"/>
      <c r="G436" s="1178"/>
      <c r="H436" s="1178"/>
      <c r="I436" s="1178"/>
      <c r="J436" s="1178"/>
      <c r="K436" s="1178"/>
      <c r="L436" s="1178"/>
      <c r="M436" s="1178"/>
      <c r="N436" s="1179"/>
    </row>
    <row r="437" spans="1:14" s="896" customFormat="1" ht="15" thickBot="1">
      <c r="A437" s="1180"/>
      <c r="B437" s="1181"/>
      <c r="C437" s="1182" t="s">
        <v>2669</v>
      </c>
      <c r="D437" s="1183"/>
      <c r="E437" s="1184"/>
      <c r="F437" s="1185">
        <f>SUM(G437:N437)</f>
        <v>239310322</v>
      </c>
      <c r="G437" s="1186">
        <f t="shared" ref="G437:N437" si="250">IF(G438="",+G432,0)</f>
        <v>52920991</v>
      </c>
      <c r="H437" s="1186">
        <f t="shared" si="250"/>
        <v>31633449</v>
      </c>
      <c r="I437" s="1186">
        <f t="shared" si="250"/>
        <v>154755882</v>
      </c>
      <c r="J437" s="1186">
        <f t="shared" si="250"/>
        <v>0</v>
      </c>
      <c r="K437" s="1186">
        <f t="shared" si="250"/>
        <v>0</v>
      </c>
      <c r="L437" s="1186">
        <f t="shared" si="250"/>
        <v>0</v>
      </c>
      <c r="M437" s="1186">
        <f t="shared" si="250"/>
        <v>0</v>
      </c>
      <c r="N437" s="1187">
        <f t="shared" si="250"/>
        <v>0</v>
      </c>
    </row>
    <row r="438" spans="1:14" s="896" customFormat="1" ht="14">
      <c r="A438" s="1294"/>
      <c r="B438" s="1295"/>
      <c r="C438" s="1188" t="s">
        <v>2670</v>
      </c>
      <c r="D438" s="1189"/>
      <c r="E438" s="1190"/>
      <c r="F438" s="926">
        <f>F223</f>
        <v>0</v>
      </c>
      <c r="G438" s="926" t="str">
        <f>IF(G460=0,"",G432)</f>
        <v/>
      </c>
      <c r="H438" s="926" t="str">
        <f t="shared" ref="H438:N438" si="251">IF(H460=0,"",H432)</f>
        <v/>
      </c>
      <c r="I438" s="926" t="str">
        <f t="shared" si="251"/>
        <v/>
      </c>
      <c r="J438" s="926" t="str">
        <f t="shared" si="251"/>
        <v/>
      </c>
      <c r="K438" s="926" t="str">
        <f t="shared" si="251"/>
        <v/>
      </c>
      <c r="L438" s="926" t="str">
        <f t="shared" si="251"/>
        <v/>
      </c>
      <c r="M438" s="926" t="str">
        <f t="shared" si="251"/>
        <v/>
      </c>
      <c r="N438" s="1191" t="str">
        <f t="shared" si="251"/>
        <v/>
      </c>
    </row>
    <row r="439" spans="1:14" s="896" customFormat="1" ht="14">
      <c r="A439" s="1171"/>
      <c r="B439" s="1172"/>
      <c r="C439" s="2633" t="s">
        <v>2671</v>
      </c>
      <c r="D439" s="2633"/>
      <c r="E439" s="2634"/>
      <c r="F439" s="946">
        <f>F437+F438-F447</f>
        <v>239310322</v>
      </c>
      <c r="G439" s="1073"/>
      <c r="H439" s="1073"/>
      <c r="I439" s="1073"/>
      <c r="J439" s="1073"/>
      <c r="K439" s="1073"/>
      <c r="L439" s="1073"/>
      <c r="M439" s="1073"/>
      <c r="N439" s="1074"/>
    </row>
    <row r="440" spans="1:14" s="896" customFormat="1" ht="14">
      <c r="A440" s="877"/>
      <c r="B440" s="878"/>
      <c r="C440" s="878"/>
      <c r="D440" s="1192"/>
      <c r="E440" s="881" t="str">
        <f>E302</f>
        <v>無し</v>
      </c>
      <c r="F440" s="2635" t="s">
        <v>2672</v>
      </c>
      <c r="G440" s="2636"/>
      <c r="H440" s="1077"/>
      <c r="I440" s="1077"/>
      <c r="J440" s="1077"/>
      <c r="K440" s="1077"/>
      <c r="L440" s="1077"/>
      <c r="M440" s="1077"/>
      <c r="N440" s="1078"/>
    </row>
    <row r="441" spans="1:14" s="896" customFormat="1" ht="14">
      <c r="A441" s="2637" t="s">
        <v>2673</v>
      </c>
      <c r="B441" s="2638"/>
      <c r="C441" s="2639"/>
      <c r="D441" s="1193"/>
      <c r="E441" s="1194" t="str">
        <f>+E303</f>
        <v>有り</v>
      </c>
      <c r="F441" s="2640" t="s">
        <v>2674</v>
      </c>
      <c r="G441" s="2641"/>
      <c r="H441" s="1073"/>
      <c r="I441" s="1073"/>
      <c r="J441" s="1073"/>
      <c r="K441" s="1073"/>
      <c r="L441" s="1073"/>
      <c r="M441" s="1073"/>
      <c r="N441" s="1074"/>
    </row>
    <row r="442" spans="1:14" s="896" customFormat="1" ht="14">
      <c r="A442" s="2642"/>
      <c r="B442" s="1195" t="s">
        <v>161</v>
      </c>
      <c r="C442" s="1196" t="s">
        <v>2675</v>
      </c>
      <c r="D442" s="1197">
        <v>1</v>
      </c>
      <c r="E442" s="1198">
        <f>+G511/100</f>
        <v>0.1191</v>
      </c>
      <c r="F442" s="907">
        <f>SUM(G442:N442)</f>
        <v>239310322</v>
      </c>
      <c r="G442" s="1077">
        <f t="shared" ref="G442:N442" si="252">+G437-G447</f>
        <v>52920991</v>
      </c>
      <c r="H442" s="1077">
        <f t="shared" si="252"/>
        <v>31633449</v>
      </c>
      <c r="I442" s="1077">
        <f>+I437-I447</f>
        <v>154755882</v>
      </c>
      <c r="J442" s="1077">
        <f t="shared" si="252"/>
        <v>0</v>
      </c>
      <c r="K442" s="1077">
        <f t="shared" si="252"/>
        <v>0</v>
      </c>
      <c r="L442" s="1077">
        <f t="shared" si="252"/>
        <v>0</v>
      </c>
      <c r="M442" s="1077">
        <f t="shared" si="252"/>
        <v>0</v>
      </c>
      <c r="N442" s="1078">
        <f t="shared" si="252"/>
        <v>0</v>
      </c>
    </row>
    <row r="443" spans="1:14" s="896" customFormat="1" ht="14">
      <c r="A443" s="2602"/>
      <c r="B443" s="2607" t="s">
        <v>2676</v>
      </c>
      <c r="C443" s="910" t="s">
        <v>2677</v>
      </c>
      <c r="D443" s="1138">
        <v>0.05</v>
      </c>
      <c r="E443" s="1113">
        <f>IF(OR(G299="無し",G299="なし"),IF(E440="無し",E442,0),0)</f>
        <v>0.1191</v>
      </c>
      <c r="F443" s="911">
        <f>SUM(G443:N443)</f>
        <v>239310322</v>
      </c>
      <c r="G443" s="912">
        <f>IF(G460=0,+G442,0)</f>
        <v>52920991</v>
      </c>
      <c r="H443" s="912">
        <f>IF(H460=0,+H442,0)</f>
        <v>31633449</v>
      </c>
      <c r="I443" s="912">
        <f t="shared" ref="I443:N443" si="253">IF(I460=0,+I442,0)</f>
        <v>154755882</v>
      </c>
      <c r="J443" s="912">
        <f t="shared" si="253"/>
        <v>0</v>
      </c>
      <c r="K443" s="912">
        <f t="shared" si="253"/>
        <v>0</v>
      </c>
      <c r="L443" s="912">
        <f t="shared" si="253"/>
        <v>0</v>
      </c>
      <c r="M443" s="912">
        <f t="shared" si="253"/>
        <v>0</v>
      </c>
      <c r="N443" s="913">
        <f t="shared" si="253"/>
        <v>0</v>
      </c>
    </row>
    <row r="444" spans="1:14" s="896" customFormat="1" ht="14">
      <c r="A444" s="2602"/>
      <c r="B444" s="2606"/>
      <c r="C444" s="910" t="s">
        <v>2678</v>
      </c>
      <c r="D444" s="1199">
        <v>1</v>
      </c>
      <c r="E444" s="1113">
        <f>IF(OR(E441="無し",E441="なし"),0,0.0004)</f>
        <v>4.0000000000000002E-4</v>
      </c>
      <c r="F444" s="911">
        <f>SUM(G444:N444)</f>
        <v>239310322</v>
      </c>
      <c r="G444" s="912">
        <f>IF(G460=0,+G442,0)</f>
        <v>52920991</v>
      </c>
      <c r="H444" s="912">
        <f t="shared" ref="H444:N444" si="254">IF(H460=0,+H442,0)</f>
        <v>31633449</v>
      </c>
      <c r="I444" s="912">
        <f t="shared" si="254"/>
        <v>154755882</v>
      </c>
      <c r="J444" s="912">
        <f t="shared" si="254"/>
        <v>0</v>
      </c>
      <c r="K444" s="912">
        <f t="shared" si="254"/>
        <v>0</v>
      </c>
      <c r="L444" s="912">
        <f t="shared" si="254"/>
        <v>0</v>
      </c>
      <c r="M444" s="912">
        <f t="shared" si="254"/>
        <v>0</v>
      </c>
      <c r="N444" s="913">
        <f t="shared" si="254"/>
        <v>0</v>
      </c>
    </row>
    <row r="445" spans="1:14" s="896" customFormat="1" ht="14">
      <c r="A445" s="2602"/>
      <c r="B445" s="1200"/>
      <c r="C445" s="910"/>
      <c r="D445" s="1201"/>
      <c r="E445" s="1201"/>
      <c r="F445" s="911"/>
      <c r="G445" s="912"/>
      <c r="H445" s="912"/>
      <c r="I445" s="912"/>
      <c r="J445" s="912"/>
      <c r="K445" s="912"/>
      <c r="L445" s="912"/>
      <c r="M445" s="912"/>
      <c r="N445" s="913"/>
    </row>
    <row r="446" spans="1:14" s="896" customFormat="1" ht="14">
      <c r="A446" s="2602"/>
      <c r="B446" s="1200"/>
      <c r="C446" s="910"/>
      <c r="D446" s="1201"/>
      <c r="E446" s="1201"/>
      <c r="F446" s="911"/>
      <c r="G446" s="912"/>
      <c r="H446" s="912"/>
      <c r="I446" s="912"/>
      <c r="J446" s="912"/>
      <c r="K446" s="912"/>
      <c r="L446" s="912"/>
      <c r="M446" s="912"/>
      <c r="N446" s="913"/>
    </row>
    <row r="447" spans="1:14" s="896" customFormat="1" ht="14">
      <c r="A447" s="2602"/>
      <c r="B447" s="2607" t="s">
        <v>2679</v>
      </c>
      <c r="C447" s="1110" t="str">
        <f>+C352</f>
        <v>(17)下水道使用料、各種負担金（共通仮設）</v>
      </c>
      <c r="D447" s="1202">
        <v>1</v>
      </c>
      <c r="E447" s="1203">
        <v>0</v>
      </c>
      <c r="F447" s="911">
        <f>SUM(G447:N447)</f>
        <v>0</v>
      </c>
      <c r="G447" s="912">
        <f t="shared" ref="G447:N447" si="255">+G352</f>
        <v>0</v>
      </c>
      <c r="H447" s="912">
        <f t="shared" si="255"/>
        <v>0</v>
      </c>
      <c r="I447" s="912">
        <f t="shared" si="255"/>
        <v>0</v>
      </c>
      <c r="J447" s="912">
        <f t="shared" si="255"/>
        <v>0</v>
      </c>
      <c r="K447" s="912">
        <f t="shared" si="255"/>
        <v>0</v>
      </c>
      <c r="L447" s="912">
        <f t="shared" si="255"/>
        <v>0</v>
      </c>
      <c r="M447" s="912">
        <f t="shared" si="255"/>
        <v>0</v>
      </c>
      <c r="N447" s="913">
        <f t="shared" si="255"/>
        <v>0</v>
      </c>
    </row>
    <row r="448" spans="1:14" s="896" customFormat="1" ht="14">
      <c r="A448" s="2602"/>
      <c r="B448" s="2605"/>
      <c r="C448" s="1204"/>
      <c r="D448" s="1110"/>
      <c r="E448" s="1203"/>
      <c r="F448" s="911"/>
      <c r="G448" s="912"/>
      <c r="H448" s="912"/>
      <c r="I448" s="912"/>
      <c r="J448" s="912"/>
      <c r="K448" s="912"/>
      <c r="L448" s="912"/>
      <c r="M448" s="912"/>
      <c r="N448" s="913"/>
    </row>
    <row r="449" spans="1:14" s="896" customFormat="1" ht="14">
      <c r="A449" s="2603"/>
      <c r="B449" s="2608"/>
      <c r="C449" s="1205"/>
      <c r="D449" s="1154"/>
      <c r="E449" s="1206"/>
      <c r="F449" s="946"/>
      <c r="G449" s="1073"/>
      <c r="H449" s="1073"/>
      <c r="I449" s="1073"/>
      <c r="J449" s="1073"/>
      <c r="K449" s="1073"/>
      <c r="L449" s="1073"/>
      <c r="M449" s="1073"/>
      <c r="N449" s="1074"/>
    </row>
    <row r="450" spans="1:14" s="896" customFormat="1" ht="14">
      <c r="A450" s="877"/>
      <c r="B450" s="878"/>
      <c r="C450" s="1207"/>
      <c r="D450" s="1208"/>
      <c r="E450" s="1209"/>
      <c r="F450" s="907"/>
      <c r="G450" s="1077"/>
      <c r="H450" s="1077"/>
      <c r="I450" s="1077"/>
      <c r="J450" s="1077"/>
      <c r="K450" s="1077"/>
      <c r="L450" s="1077"/>
      <c r="M450" s="1077"/>
      <c r="N450" s="1078"/>
    </row>
    <row r="451" spans="1:14" s="896" customFormat="1" ht="14">
      <c r="A451" s="2637" t="s">
        <v>2680</v>
      </c>
      <c r="B451" s="2638"/>
      <c r="C451" s="2639"/>
      <c r="D451" s="1210"/>
      <c r="E451" s="1211"/>
      <c r="F451" s="1212"/>
      <c r="G451" s="1073"/>
      <c r="H451" s="1073"/>
      <c r="I451" s="1073"/>
      <c r="J451" s="1073"/>
      <c r="K451" s="1073"/>
      <c r="L451" s="1073"/>
      <c r="M451" s="1073"/>
      <c r="N451" s="1074"/>
    </row>
    <row r="452" spans="1:14" s="896" customFormat="1" ht="14">
      <c r="A452" s="1294"/>
      <c r="B452" s="1213" t="s">
        <v>161</v>
      </c>
      <c r="C452" s="1196" t="s">
        <v>2675</v>
      </c>
      <c r="D452" s="1197">
        <f t="shared" ref="D452:E454" si="256">+D442</f>
        <v>1</v>
      </c>
      <c r="E452" s="1214">
        <f>+E442</f>
        <v>0.1191</v>
      </c>
      <c r="F452" s="911">
        <f>INT(D452*E452*F442)</f>
        <v>28501859</v>
      </c>
      <c r="G452" s="1077">
        <f>F452-SUM(H452:N452)</f>
        <v>6302890</v>
      </c>
      <c r="H452" s="1077">
        <f>IF(H442=0,0,ROUND($F452/$F442*H442,0))</f>
        <v>3767544</v>
      </c>
      <c r="I452" s="1077">
        <f t="shared" ref="I452:N452" si="257">IF(I442=0,0,ROUND($F452/$F442*I442,0))</f>
        <v>18431425</v>
      </c>
      <c r="J452" s="1077">
        <f t="shared" si="257"/>
        <v>0</v>
      </c>
      <c r="K452" s="1077">
        <f t="shared" si="257"/>
        <v>0</v>
      </c>
      <c r="L452" s="1077">
        <f t="shared" si="257"/>
        <v>0</v>
      </c>
      <c r="M452" s="1077">
        <f t="shared" si="257"/>
        <v>0</v>
      </c>
      <c r="N452" s="1078">
        <f t="shared" si="257"/>
        <v>0</v>
      </c>
    </row>
    <row r="453" spans="1:14" s="896" customFormat="1" ht="14">
      <c r="A453" s="1294"/>
      <c r="B453" s="2607" t="s">
        <v>2676</v>
      </c>
      <c r="C453" s="910" t="s">
        <v>2677</v>
      </c>
      <c r="D453" s="1202">
        <f t="shared" si="256"/>
        <v>0.05</v>
      </c>
      <c r="E453" s="1113">
        <f t="shared" si="256"/>
        <v>0.1191</v>
      </c>
      <c r="F453" s="911">
        <f>INT(D453*E453*F443)</f>
        <v>1425092</v>
      </c>
      <c r="G453" s="912">
        <f>F453-SUM(H453:N453)</f>
        <v>315144</v>
      </c>
      <c r="H453" s="912">
        <f t="shared" ref="H453:N454" si="258">IF(H443=0,0,ROUND($F453/$F443*H443,0))</f>
        <v>188377</v>
      </c>
      <c r="I453" s="912">
        <f t="shared" si="258"/>
        <v>921571</v>
      </c>
      <c r="J453" s="912">
        <f t="shared" si="258"/>
        <v>0</v>
      </c>
      <c r="K453" s="912">
        <f t="shared" si="258"/>
        <v>0</v>
      </c>
      <c r="L453" s="912">
        <f t="shared" si="258"/>
        <v>0</v>
      </c>
      <c r="M453" s="912">
        <f t="shared" si="258"/>
        <v>0</v>
      </c>
      <c r="N453" s="913">
        <f t="shared" si="258"/>
        <v>0</v>
      </c>
    </row>
    <row r="454" spans="1:14" s="896" customFormat="1" ht="14">
      <c r="A454" s="1294"/>
      <c r="B454" s="2606"/>
      <c r="C454" s="910" t="s">
        <v>2678</v>
      </c>
      <c r="D454" s="1202">
        <f t="shared" si="256"/>
        <v>1</v>
      </c>
      <c r="E454" s="1113">
        <f t="shared" si="256"/>
        <v>4.0000000000000002E-4</v>
      </c>
      <c r="F454" s="911">
        <f>INT(D454*E454*F444)</f>
        <v>95724</v>
      </c>
      <c r="G454" s="912">
        <f>F454-SUM(H454:N454)</f>
        <v>21169</v>
      </c>
      <c r="H454" s="912">
        <f>IF(H444=0,0,ROUND($F454/$F444*H444,0))</f>
        <v>12653</v>
      </c>
      <c r="I454" s="912">
        <f t="shared" si="258"/>
        <v>61902</v>
      </c>
      <c r="J454" s="912">
        <f t="shared" si="258"/>
        <v>0</v>
      </c>
      <c r="K454" s="912">
        <f t="shared" si="258"/>
        <v>0</v>
      </c>
      <c r="L454" s="912">
        <f t="shared" si="258"/>
        <v>0</v>
      </c>
      <c r="M454" s="912">
        <f t="shared" si="258"/>
        <v>0</v>
      </c>
      <c r="N454" s="913">
        <f t="shared" si="258"/>
        <v>0</v>
      </c>
    </row>
    <row r="455" spans="1:14" s="896" customFormat="1" ht="14">
      <c r="A455" s="1294"/>
      <c r="B455" s="1200"/>
      <c r="C455" s="910"/>
      <c r="D455" s="1201"/>
      <c r="E455" s="1201"/>
      <c r="F455" s="911"/>
      <c r="G455" s="912"/>
      <c r="H455" s="912"/>
      <c r="I455" s="912"/>
      <c r="J455" s="912"/>
      <c r="K455" s="912"/>
      <c r="L455" s="912"/>
      <c r="M455" s="912"/>
      <c r="N455" s="913"/>
    </row>
    <row r="456" spans="1:14" s="896" customFormat="1" ht="14">
      <c r="A456" s="1294"/>
      <c r="B456" s="1200"/>
      <c r="C456" s="910"/>
      <c r="D456" s="1201"/>
      <c r="E456" s="1201"/>
      <c r="F456" s="911"/>
      <c r="G456" s="912"/>
      <c r="H456" s="912"/>
      <c r="I456" s="912"/>
      <c r="J456" s="912"/>
      <c r="K456" s="912"/>
      <c r="L456" s="912"/>
      <c r="M456" s="912"/>
      <c r="N456" s="913"/>
    </row>
    <row r="457" spans="1:14" s="896" customFormat="1" ht="14">
      <c r="A457" s="1294"/>
      <c r="B457" s="2607" t="s">
        <v>2679</v>
      </c>
      <c r="C457" s="1110" t="str">
        <f>+C352</f>
        <v>(17)下水道使用料、各種負担金（共通仮設）</v>
      </c>
      <c r="D457" s="1202">
        <f>+D447</f>
        <v>1</v>
      </c>
      <c r="E457" s="1113">
        <f>+E447</f>
        <v>0</v>
      </c>
      <c r="F457" s="911">
        <f>INT(D457*E457*F447)</f>
        <v>0</v>
      </c>
      <c r="G457" s="912">
        <f>F457-SUM(H457:N457)</f>
        <v>0</v>
      </c>
      <c r="H457" s="912">
        <f t="shared" ref="H457:N457" si="259">IF(H447=0,0,ROUND($F457/$F447*H447,0))</f>
        <v>0</v>
      </c>
      <c r="I457" s="912">
        <f t="shared" si="259"/>
        <v>0</v>
      </c>
      <c r="J457" s="912">
        <f t="shared" si="259"/>
        <v>0</v>
      </c>
      <c r="K457" s="912">
        <f t="shared" si="259"/>
        <v>0</v>
      </c>
      <c r="L457" s="912">
        <f t="shared" si="259"/>
        <v>0</v>
      </c>
      <c r="M457" s="912">
        <f t="shared" si="259"/>
        <v>0</v>
      </c>
      <c r="N457" s="913">
        <f t="shared" si="259"/>
        <v>0</v>
      </c>
    </row>
    <row r="458" spans="1:14" s="896" customFormat="1" ht="14">
      <c r="A458" s="1294"/>
      <c r="B458" s="2605"/>
      <c r="C458" s="1204"/>
      <c r="D458" s="1110"/>
      <c r="E458" s="1201">
        <f>+G449</f>
        <v>0</v>
      </c>
      <c r="F458" s="911"/>
      <c r="G458" s="912"/>
      <c r="H458" s="912"/>
      <c r="I458" s="912"/>
      <c r="J458" s="912"/>
      <c r="K458" s="912"/>
      <c r="L458" s="912"/>
      <c r="M458" s="912"/>
      <c r="N458" s="913"/>
    </row>
    <row r="459" spans="1:14" s="896" customFormat="1" ht="14">
      <c r="A459" s="1215"/>
      <c r="B459" s="2606"/>
      <c r="C459" s="1204"/>
      <c r="D459" s="1110"/>
      <c r="E459" s="1201">
        <f>+G450</f>
        <v>0</v>
      </c>
      <c r="F459" s="911"/>
      <c r="G459" s="912"/>
      <c r="H459" s="912"/>
      <c r="I459" s="912"/>
      <c r="J459" s="912"/>
      <c r="K459" s="912"/>
      <c r="L459" s="912"/>
      <c r="M459" s="912"/>
      <c r="N459" s="913"/>
    </row>
    <row r="460" spans="1:14" s="896" customFormat="1" ht="14">
      <c r="A460" s="1215"/>
      <c r="B460" s="2643" t="s">
        <v>2662</v>
      </c>
      <c r="C460" s="1129" t="s">
        <v>2681</v>
      </c>
      <c r="D460" s="1216"/>
      <c r="E460" s="1217"/>
      <c r="F460" s="1218">
        <f>SUM(G460:N460)</f>
        <v>0</v>
      </c>
      <c r="G460" s="1317">
        <f t="shared" ref="G460:N460" si="260">+G245+G68</f>
        <v>0</v>
      </c>
      <c r="H460" s="1317">
        <f t="shared" si="260"/>
        <v>0</v>
      </c>
      <c r="I460" s="1317">
        <f t="shared" si="260"/>
        <v>0</v>
      </c>
      <c r="J460" s="1317">
        <f t="shared" si="260"/>
        <v>0</v>
      </c>
      <c r="K460" s="1317">
        <f t="shared" si="260"/>
        <v>0</v>
      </c>
      <c r="L460" s="1317">
        <f t="shared" si="260"/>
        <v>0</v>
      </c>
      <c r="M460" s="1317">
        <f t="shared" si="260"/>
        <v>0</v>
      </c>
      <c r="N460" s="1318">
        <f t="shared" si="260"/>
        <v>0</v>
      </c>
    </row>
    <row r="461" spans="1:14" s="896" customFormat="1" ht="14">
      <c r="A461" s="1294"/>
      <c r="B461" s="2659"/>
      <c r="C461" s="1221" t="s">
        <v>2682</v>
      </c>
      <c r="D461" s="1156"/>
      <c r="E461" s="1157"/>
      <c r="F461" s="1064"/>
      <c r="G461" s="912"/>
      <c r="H461" s="912"/>
      <c r="I461" s="912"/>
      <c r="J461" s="912"/>
      <c r="K461" s="912"/>
      <c r="L461" s="912"/>
      <c r="M461" s="912"/>
      <c r="N461" s="913"/>
    </row>
    <row r="462" spans="1:14" s="896" customFormat="1" ht="14">
      <c r="A462" s="1180"/>
      <c r="B462" s="1181"/>
      <c r="C462" s="1181"/>
      <c r="D462" s="882"/>
      <c r="E462" s="882"/>
      <c r="F462" s="907"/>
      <c r="G462" s="1077"/>
      <c r="H462" s="1077"/>
      <c r="I462" s="1077"/>
      <c r="J462" s="1077"/>
      <c r="K462" s="1077"/>
      <c r="L462" s="1077"/>
      <c r="M462" s="1077"/>
      <c r="N462" s="1078"/>
    </row>
    <row r="463" spans="1:14" s="896" customFormat="1" ht="14">
      <c r="A463" s="1222"/>
      <c r="B463" s="1082"/>
      <c r="C463" s="701" t="s">
        <v>2684</v>
      </c>
      <c r="D463" s="1204"/>
      <c r="E463" s="910"/>
      <c r="F463" s="911">
        <f>SUM(G463:N463)</f>
        <v>30022675</v>
      </c>
      <c r="G463" s="912">
        <f>SUM(G452:G461)</f>
        <v>6639203</v>
      </c>
      <c r="H463" s="912">
        <f t="shared" ref="H463:N463" si="261">SUM(H452:H461)</f>
        <v>3968574</v>
      </c>
      <c r="I463" s="912">
        <f t="shared" si="261"/>
        <v>19414898</v>
      </c>
      <c r="J463" s="912">
        <f t="shared" si="261"/>
        <v>0</v>
      </c>
      <c r="K463" s="912">
        <f t="shared" si="261"/>
        <v>0</v>
      </c>
      <c r="L463" s="912">
        <f t="shared" si="261"/>
        <v>0</v>
      </c>
      <c r="M463" s="912">
        <f t="shared" si="261"/>
        <v>0</v>
      </c>
      <c r="N463" s="913">
        <f t="shared" si="261"/>
        <v>0</v>
      </c>
    </row>
    <row r="464" spans="1:14" s="896" customFormat="1" ht="14">
      <c r="A464" s="1222"/>
      <c r="B464" s="1082"/>
      <c r="C464" s="701" t="s">
        <v>2665</v>
      </c>
      <c r="D464" s="1204"/>
      <c r="E464" s="910"/>
      <c r="F464" s="911">
        <f>SUM(G464:N464)</f>
        <v>239310322</v>
      </c>
      <c r="G464" s="912">
        <f t="shared" ref="G464:N464" si="262">+G432</f>
        <v>52920991</v>
      </c>
      <c r="H464" s="912">
        <f t="shared" si="262"/>
        <v>31633449</v>
      </c>
      <c r="I464" s="912">
        <f t="shared" si="262"/>
        <v>154755882</v>
      </c>
      <c r="J464" s="912">
        <f t="shared" si="262"/>
        <v>0</v>
      </c>
      <c r="K464" s="912">
        <f t="shared" si="262"/>
        <v>0</v>
      </c>
      <c r="L464" s="912">
        <f t="shared" si="262"/>
        <v>0</v>
      </c>
      <c r="M464" s="912">
        <f t="shared" si="262"/>
        <v>0</v>
      </c>
      <c r="N464" s="913">
        <f t="shared" si="262"/>
        <v>0</v>
      </c>
    </row>
    <row r="465" spans="1:14" s="896" customFormat="1" ht="15" thickBot="1">
      <c r="A465" s="1223"/>
      <c r="B465" s="1224"/>
      <c r="C465" s="1225" t="s">
        <v>2685</v>
      </c>
      <c r="D465" s="1226"/>
      <c r="E465" s="1227"/>
      <c r="F465" s="1144">
        <f>SUM(G465:N465)</f>
        <v>269332997</v>
      </c>
      <c r="G465" s="1228">
        <f t="shared" ref="G465:N465" si="263">SUM(G463:G464)</f>
        <v>59560194</v>
      </c>
      <c r="H465" s="1228">
        <f t="shared" si="263"/>
        <v>35602023</v>
      </c>
      <c r="I465" s="1228">
        <f t="shared" si="263"/>
        <v>174170780</v>
      </c>
      <c r="J465" s="1228">
        <f t="shared" si="263"/>
        <v>0</v>
      </c>
      <c r="K465" s="1228">
        <f t="shared" si="263"/>
        <v>0</v>
      </c>
      <c r="L465" s="1228">
        <f t="shared" si="263"/>
        <v>0</v>
      </c>
      <c r="M465" s="1228">
        <f t="shared" si="263"/>
        <v>0</v>
      </c>
      <c r="N465" s="1229">
        <f t="shared" si="263"/>
        <v>0</v>
      </c>
    </row>
    <row r="466" spans="1:14" s="896" customFormat="1" ht="15" thickTop="1">
      <c r="A466" s="1294"/>
      <c r="B466" s="1295"/>
      <c r="C466" s="1295"/>
      <c r="D466" s="925"/>
      <c r="E466" s="925"/>
      <c r="F466" s="926"/>
      <c r="G466" s="1230">
        <f t="shared" ref="G466:N466" si="264">ROUNDDOWN(G465,-3)</f>
        <v>59560000</v>
      </c>
      <c r="H466" s="1230">
        <f t="shared" si="264"/>
        <v>35602000</v>
      </c>
      <c r="I466" s="1230">
        <f t="shared" si="264"/>
        <v>174170000</v>
      </c>
      <c r="J466" s="1230">
        <f t="shared" si="264"/>
        <v>0</v>
      </c>
      <c r="K466" s="1230">
        <f t="shared" si="264"/>
        <v>0</v>
      </c>
      <c r="L466" s="1230">
        <f t="shared" si="264"/>
        <v>0</v>
      </c>
      <c r="M466" s="1230">
        <f t="shared" si="264"/>
        <v>0</v>
      </c>
      <c r="N466" s="1231">
        <f t="shared" si="264"/>
        <v>0</v>
      </c>
    </row>
    <row r="467" spans="1:14" s="896" customFormat="1" ht="14">
      <c r="A467" s="1222"/>
      <c r="B467" s="1082"/>
      <c r="C467" s="701" t="s">
        <v>2665</v>
      </c>
      <c r="D467" s="1204"/>
      <c r="E467" s="910"/>
      <c r="F467" s="911">
        <f>SUM(G467:N467)</f>
        <v>239310322</v>
      </c>
      <c r="G467" s="912">
        <f>+G464</f>
        <v>52920991</v>
      </c>
      <c r="H467" s="912">
        <f t="shared" ref="H467:N467" si="265">+H464</f>
        <v>31633449</v>
      </c>
      <c r="I467" s="912">
        <f t="shared" si="265"/>
        <v>154755882</v>
      </c>
      <c r="J467" s="912">
        <f t="shared" si="265"/>
        <v>0</v>
      </c>
      <c r="K467" s="912">
        <f t="shared" si="265"/>
        <v>0</v>
      </c>
      <c r="L467" s="912">
        <f t="shared" si="265"/>
        <v>0</v>
      </c>
      <c r="M467" s="912">
        <f t="shared" si="265"/>
        <v>0</v>
      </c>
      <c r="N467" s="913">
        <f t="shared" si="265"/>
        <v>0</v>
      </c>
    </row>
    <row r="468" spans="1:14" s="896" customFormat="1" ht="14">
      <c r="A468" s="1222"/>
      <c r="B468" s="1082"/>
      <c r="C468" s="701" t="s">
        <v>2686</v>
      </c>
      <c r="D468" s="1204"/>
      <c r="E468" s="1201"/>
      <c r="F468" s="911">
        <f>SUM(G468:N468)</f>
        <v>29989678</v>
      </c>
      <c r="G468" s="912">
        <f>+G463-(G465-G470)</f>
        <v>6632009</v>
      </c>
      <c r="H468" s="912">
        <f t="shared" ref="H468:N468" si="266">+H463-(H465-H470)</f>
        <v>3964551</v>
      </c>
      <c r="I468" s="912">
        <f t="shared" si="266"/>
        <v>19393118</v>
      </c>
      <c r="J468" s="912">
        <f t="shared" si="266"/>
        <v>0</v>
      </c>
      <c r="K468" s="912">
        <f t="shared" si="266"/>
        <v>0</v>
      </c>
      <c r="L468" s="912">
        <f t="shared" si="266"/>
        <v>0</v>
      </c>
      <c r="M468" s="912">
        <f t="shared" si="266"/>
        <v>0</v>
      </c>
      <c r="N468" s="913">
        <f t="shared" si="266"/>
        <v>0</v>
      </c>
    </row>
    <row r="469" spans="1:14" s="896" customFormat="1" ht="14">
      <c r="A469" s="1222"/>
      <c r="B469" s="1082"/>
      <c r="C469" s="1082"/>
      <c r="D469" s="910"/>
      <c r="E469" s="1232">
        <f>SUM(G466:N466)</f>
        <v>269332000</v>
      </c>
      <c r="F469" s="911" t="s">
        <v>2687</v>
      </c>
      <c r="G469" s="912">
        <f t="shared" ref="G469:N469" si="267">+G463-G468</f>
        <v>7194</v>
      </c>
      <c r="H469" s="912">
        <f t="shared" si="267"/>
        <v>4023</v>
      </c>
      <c r="I469" s="912">
        <f t="shared" si="267"/>
        <v>21780</v>
      </c>
      <c r="J469" s="912">
        <f t="shared" si="267"/>
        <v>0</v>
      </c>
      <c r="K469" s="912">
        <f t="shared" si="267"/>
        <v>0</v>
      </c>
      <c r="L469" s="912">
        <f t="shared" si="267"/>
        <v>0</v>
      </c>
      <c r="M469" s="1233">
        <f t="shared" si="267"/>
        <v>0</v>
      </c>
      <c r="N469" s="1234">
        <f t="shared" si="267"/>
        <v>0</v>
      </c>
    </row>
    <row r="470" spans="1:14" s="896" customFormat="1" ht="14">
      <c r="A470" s="1235"/>
      <c r="B470" s="1063"/>
      <c r="C470" s="1063" t="s">
        <v>2688</v>
      </c>
      <c r="D470" s="1236"/>
      <c r="E470" s="1232">
        <f>ROUNDDOWN(E469,4-LEN(E469))</f>
        <v>269300000</v>
      </c>
      <c r="F470" s="1237">
        <f>+E470</f>
        <v>269300000</v>
      </c>
      <c r="G470" s="1233">
        <f>IF(F471+SUM(H470:N470)=F470,F471,F470-SUM(H470:N470))</f>
        <v>59553000</v>
      </c>
      <c r="H470" s="1233">
        <f>IF(H460=0,+H466-ROUND($E$471*H465/$F$465,-3),H465)</f>
        <v>35598000</v>
      </c>
      <c r="I470" s="1233">
        <f t="shared" ref="I470:N470" si="268">IF(I460=0,+I466-ROUND($E$471*I465/$F$465,-3),I465)</f>
        <v>174149000</v>
      </c>
      <c r="J470" s="1233">
        <f t="shared" si="268"/>
        <v>0</v>
      </c>
      <c r="K470" s="1233">
        <f t="shared" si="268"/>
        <v>0</v>
      </c>
      <c r="L470" s="1233">
        <f t="shared" si="268"/>
        <v>0</v>
      </c>
      <c r="M470" s="1233">
        <f t="shared" si="268"/>
        <v>0</v>
      </c>
      <c r="N470" s="1234">
        <f t="shared" si="268"/>
        <v>0</v>
      </c>
    </row>
    <row r="471" spans="1:14" s="896" customFormat="1" ht="14">
      <c r="A471" s="1238"/>
      <c r="B471" s="1239"/>
      <c r="C471" s="1239"/>
      <c r="D471" s="1240"/>
      <c r="E471" s="1241">
        <f>E469-E470</f>
        <v>32000</v>
      </c>
      <c r="F471" s="1242">
        <f>+G466-ROUND($E$471*G465/$F$465,-3)</f>
        <v>59553000</v>
      </c>
      <c r="G471" s="1241">
        <f t="shared" ref="G471:N471" si="269">IF(LEN(G465)&lt;=7,-3,IF(LEN(G465)=8,-4,IF(LEN(G465)&gt;=9,-5,-6)))</f>
        <v>-4</v>
      </c>
      <c r="H471" s="1241">
        <f t="shared" si="269"/>
        <v>-4</v>
      </c>
      <c r="I471" s="1241">
        <f t="shared" si="269"/>
        <v>-5</v>
      </c>
      <c r="J471" s="1241">
        <f t="shared" si="269"/>
        <v>-3</v>
      </c>
      <c r="K471" s="1241">
        <f t="shared" si="269"/>
        <v>-3</v>
      </c>
      <c r="L471" s="1241">
        <f t="shared" si="269"/>
        <v>-3</v>
      </c>
      <c r="M471" s="1241">
        <f t="shared" si="269"/>
        <v>-3</v>
      </c>
      <c r="N471" s="1243">
        <f t="shared" si="269"/>
        <v>-3</v>
      </c>
    </row>
    <row r="472" spans="1:14" ht="15" thickBot="1">
      <c r="F472" s="1319"/>
      <c r="G472" s="1320"/>
    </row>
    <row r="473" spans="1:14" ht="14">
      <c r="A473" s="1321"/>
      <c r="B473" s="1322"/>
      <c r="C473" s="1323" t="s">
        <v>2689</v>
      </c>
      <c r="D473" s="1324"/>
      <c r="E473" s="1322"/>
      <c r="F473" s="1325" t="s">
        <v>2690</v>
      </c>
      <c r="G473" s="1252">
        <f t="shared" ref="G473:N473" si="270">+G300</f>
        <v>16.600000000000001</v>
      </c>
      <c r="H473" s="1252">
        <f t="shared" si="270"/>
        <v>11</v>
      </c>
      <c r="I473" s="1252">
        <f t="shared" si="270"/>
        <v>16.600000000000001</v>
      </c>
      <c r="J473" s="1252">
        <f t="shared" si="270"/>
        <v>0</v>
      </c>
      <c r="K473" s="1252">
        <f t="shared" si="270"/>
        <v>0</v>
      </c>
      <c r="L473" s="1252">
        <f t="shared" si="270"/>
        <v>0</v>
      </c>
      <c r="M473" s="1252">
        <f t="shared" si="270"/>
        <v>0</v>
      </c>
      <c r="N473" s="1253">
        <f t="shared" si="270"/>
        <v>0</v>
      </c>
    </row>
    <row r="474" spans="1:14" s="896" customFormat="1" ht="14">
      <c r="A474" s="2651"/>
      <c r="B474" s="2654" t="s">
        <v>2691</v>
      </c>
      <c r="C474" s="1254" t="s">
        <v>2692</v>
      </c>
      <c r="D474" s="1063"/>
      <c r="E474" s="1255"/>
      <c r="F474" s="1256" t="s">
        <v>2693</v>
      </c>
      <c r="G474" s="1257">
        <f>IF($F357&lt;=10000000,ROUND(7.56*(10000^-0.1105)*(G473^0.2389),2),ROUND(7.56*(($F357/1000)^-0.1105)*(G473^0.2389),2))</f>
        <v>3.84</v>
      </c>
      <c r="H474" s="1257">
        <f t="shared" ref="H474:N474" si="271">IF($F357&lt;=10000000,ROUND(7.56*(10000^-0.1105)*(H473^0.2389),2),ROUND(7.56*(($F357/1000)^-0.1105)*(H473^0.2389),2))</f>
        <v>3.48</v>
      </c>
      <c r="I474" s="1257">
        <f t="shared" si="271"/>
        <v>3.84</v>
      </c>
      <c r="J474" s="1257">
        <f t="shared" si="271"/>
        <v>0</v>
      </c>
      <c r="K474" s="1257">
        <f t="shared" si="271"/>
        <v>0</v>
      </c>
      <c r="L474" s="1257">
        <f t="shared" si="271"/>
        <v>0</v>
      </c>
      <c r="M474" s="1257">
        <f t="shared" si="271"/>
        <v>0</v>
      </c>
      <c r="N474" s="1326">
        <f t="shared" si="271"/>
        <v>0</v>
      </c>
    </row>
    <row r="475" spans="1:14" s="896" customFormat="1" ht="14">
      <c r="A475" s="2652"/>
      <c r="B475" s="2655"/>
      <c r="C475" s="2657" t="s">
        <v>2694</v>
      </c>
      <c r="D475" s="1133"/>
      <c r="E475" s="1258"/>
      <c r="F475" s="1256" t="s">
        <v>2695</v>
      </c>
      <c r="G475" s="1259">
        <f>IF($F357&lt;=10000000,ROUND(4.33,2),0)</f>
        <v>0</v>
      </c>
      <c r="H475" s="1259">
        <f t="shared" ref="H475:N475" si="272">IF($F357&lt;=10000000,ROUND(4.33,2),0)</f>
        <v>0</v>
      </c>
      <c r="I475" s="1259">
        <f t="shared" si="272"/>
        <v>0</v>
      </c>
      <c r="J475" s="1259">
        <f t="shared" si="272"/>
        <v>0</v>
      </c>
      <c r="K475" s="1259">
        <f t="shared" si="272"/>
        <v>0</v>
      </c>
      <c r="L475" s="1259">
        <f t="shared" si="272"/>
        <v>0</v>
      </c>
      <c r="M475" s="1259">
        <f t="shared" si="272"/>
        <v>0</v>
      </c>
      <c r="N475" s="1327">
        <f t="shared" si="272"/>
        <v>0</v>
      </c>
    </row>
    <row r="476" spans="1:14" s="896" customFormat="1" ht="13.5" customHeight="1">
      <c r="A476" s="2652"/>
      <c r="B476" s="2655"/>
      <c r="C476" s="2658"/>
      <c r="D476" s="1260"/>
      <c r="E476" s="1261"/>
      <c r="F476" s="1256" t="s">
        <v>2696</v>
      </c>
      <c r="G476" s="1259">
        <f>IF($F357&lt;=10000000,ROUND(3.25,2),0)</f>
        <v>0</v>
      </c>
      <c r="H476" s="1259">
        <f t="shared" ref="H476:N476" si="273">IF($F357&lt;=10000000,ROUND(3.25,2),0)</f>
        <v>0</v>
      </c>
      <c r="I476" s="1259">
        <f t="shared" si="273"/>
        <v>0</v>
      </c>
      <c r="J476" s="1259">
        <f t="shared" si="273"/>
        <v>0</v>
      </c>
      <c r="K476" s="1259">
        <f t="shared" si="273"/>
        <v>0</v>
      </c>
      <c r="L476" s="1259">
        <f t="shared" si="273"/>
        <v>0</v>
      </c>
      <c r="M476" s="1259">
        <f t="shared" si="273"/>
        <v>0</v>
      </c>
      <c r="N476" s="1327">
        <f t="shared" si="273"/>
        <v>0</v>
      </c>
    </row>
    <row r="477" spans="1:14" s="896" customFormat="1" ht="14">
      <c r="A477" s="2652"/>
      <c r="B477" s="2655"/>
      <c r="C477" s="2657" t="s">
        <v>2697</v>
      </c>
      <c r="D477" s="1133"/>
      <c r="E477" s="1258"/>
      <c r="F477" s="1256" t="s">
        <v>2695</v>
      </c>
      <c r="G477" s="1262">
        <f>IF($F357&gt;10000000,ROUND(5.78*($F357/1000)^-0.0313,2),0)</f>
        <v>3.94</v>
      </c>
      <c r="H477" s="1262">
        <f t="shared" ref="H477:N477" si="274">IF($F357&gt;10000000,ROUND(5.78*($F357/1000)^-0.0313,2),0)</f>
        <v>3.94</v>
      </c>
      <c r="I477" s="1262">
        <f t="shared" si="274"/>
        <v>3.94</v>
      </c>
      <c r="J477" s="1262">
        <f t="shared" si="274"/>
        <v>3.94</v>
      </c>
      <c r="K477" s="1262">
        <f t="shared" si="274"/>
        <v>3.94</v>
      </c>
      <c r="L477" s="1262">
        <f t="shared" si="274"/>
        <v>3.94</v>
      </c>
      <c r="M477" s="1262">
        <f t="shared" si="274"/>
        <v>3.94</v>
      </c>
      <c r="N477" s="1328">
        <f t="shared" si="274"/>
        <v>3.94</v>
      </c>
    </row>
    <row r="478" spans="1:14" s="896" customFormat="1" ht="13.5" customHeight="1">
      <c r="A478" s="2653"/>
      <c r="B478" s="2656"/>
      <c r="C478" s="2658"/>
      <c r="D478" s="1260"/>
      <c r="E478" s="1261"/>
      <c r="F478" s="1256" t="s">
        <v>2696</v>
      </c>
      <c r="G478" s="1262">
        <f>IF($F357&gt;10000000,ROUND(4.34*($F357/1000)^-0.0313,2),0)</f>
        <v>2.96</v>
      </c>
      <c r="H478" s="1262">
        <f t="shared" ref="H478:N478" si="275">IF($F357&gt;10000000,ROUND(4.34*($F357/1000)^-0.0313,2),0)</f>
        <v>2.96</v>
      </c>
      <c r="I478" s="1262">
        <f t="shared" si="275"/>
        <v>2.96</v>
      </c>
      <c r="J478" s="1262">
        <f t="shared" si="275"/>
        <v>2.96</v>
      </c>
      <c r="K478" s="1262">
        <f t="shared" si="275"/>
        <v>2.96</v>
      </c>
      <c r="L478" s="1262">
        <f t="shared" si="275"/>
        <v>2.96</v>
      </c>
      <c r="M478" s="1262">
        <f t="shared" si="275"/>
        <v>2.96</v>
      </c>
      <c r="N478" s="1328">
        <f t="shared" si="275"/>
        <v>2.96</v>
      </c>
    </row>
    <row r="479" spans="1:14" s="896" customFormat="1" ht="13.5" customHeight="1">
      <c r="A479" s="2645" t="s">
        <v>2698</v>
      </c>
      <c r="B479" s="2646"/>
      <c r="C479" s="2646"/>
      <c r="D479" s="2646"/>
      <c r="E479" s="2646"/>
      <c r="F479" s="2647"/>
      <c r="G479" s="1262">
        <f>IF($F357&lt;=10000000,IF(G$474&gt;G$475,G$475,IF(G$474&lt;G$476,G$476,G$474)),IF(G$474&gt;G$477,G$477,IF(G$474&lt;G$478,G$478,G$474)))</f>
        <v>3.84</v>
      </c>
      <c r="H479" s="1262">
        <f t="shared" ref="H479:N479" si="276">IF($F357&lt;=10000000,IF(H$474&gt;H$475,H$475,IF(H$474&lt;H$476,H$476,H$474)),IF(H$474&gt;H$477,H$477,IF(H$474&lt;H$478,H$478,H$474)))</f>
        <v>3.48</v>
      </c>
      <c r="I479" s="1262">
        <f t="shared" si="276"/>
        <v>3.84</v>
      </c>
      <c r="J479" s="1262">
        <f t="shared" si="276"/>
        <v>2.96</v>
      </c>
      <c r="K479" s="1262">
        <f t="shared" si="276"/>
        <v>2.96</v>
      </c>
      <c r="L479" s="1262">
        <f t="shared" si="276"/>
        <v>2.96</v>
      </c>
      <c r="M479" s="1262">
        <f t="shared" si="276"/>
        <v>2.96</v>
      </c>
      <c r="N479" s="1328">
        <f t="shared" si="276"/>
        <v>2.96</v>
      </c>
    </row>
    <row r="480" spans="1:14" s="896" customFormat="1" ht="15" thickBot="1">
      <c r="A480" s="2648" t="s">
        <v>2699</v>
      </c>
      <c r="B480" s="2649"/>
      <c r="C480" s="2649"/>
      <c r="D480" s="2649"/>
      <c r="E480" s="2649"/>
      <c r="F480" s="2650"/>
      <c r="G480" s="1268">
        <f>ROUND(G479*IF(AND(G305="駅施設",G306="無し"),0.7,IF(AND(G305="駅施設",G306="有り"),0.7,IF(AND(G305="地上建物",G306="無し"),0.9,IF(AND(G305="地上建物",G306="有り"),1,0)))),2)</f>
        <v>2.69</v>
      </c>
      <c r="H480" s="1268">
        <f t="shared" ref="H480:N480" si="277">ROUND(H479*IF(AND(H305="駅施設",H306="無し"),0.7,IF(AND(H305="駅施設",H306="有り"),0.7,IF(AND(H305="地上建物",H306="無し"),0.9,IF(AND(H305="地上建物",H306="有り"),1,0)))),2)</f>
        <v>2.44</v>
      </c>
      <c r="I480" s="1268">
        <f t="shared" si="277"/>
        <v>2.69</v>
      </c>
      <c r="J480" s="1268">
        <f t="shared" si="277"/>
        <v>2.0699999999999998</v>
      </c>
      <c r="K480" s="1268">
        <f t="shared" si="277"/>
        <v>2.0699999999999998</v>
      </c>
      <c r="L480" s="1268">
        <f t="shared" si="277"/>
        <v>2.0699999999999998</v>
      </c>
      <c r="M480" s="1268">
        <f t="shared" si="277"/>
        <v>2.0699999999999998</v>
      </c>
      <c r="N480" s="1268">
        <f t="shared" si="277"/>
        <v>2.0699999999999998</v>
      </c>
    </row>
    <row r="481" spans="1:14" s="896" customFormat="1" ht="15" thickBot="1">
      <c r="G481" s="1264"/>
      <c r="H481" s="1264"/>
      <c r="I481" s="1264"/>
      <c r="J481" s="1264"/>
      <c r="K481" s="1264"/>
      <c r="L481" s="1264"/>
      <c r="M481" s="1264"/>
      <c r="N481" s="1264"/>
    </row>
    <row r="482" spans="1:14" s="896" customFormat="1" ht="14">
      <c r="A482" s="1247"/>
      <c r="B482" s="1248"/>
      <c r="C482" s="1249" t="s">
        <v>2689</v>
      </c>
      <c r="D482" s="1250"/>
      <c r="E482" s="1248"/>
      <c r="F482" s="1251" t="s">
        <v>2690</v>
      </c>
      <c r="G482" s="1252">
        <f t="shared" ref="G482:N482" si="278">+G300</f>
        <v>16.600000000000001</v>
      </c>
      <c r="H482" s="1252">
        <f t="shared" si="278"/>
        <v>11</v>
      </c>
      <c r="I482" s="1252">
        <f t="shared" si="278"/>
        <v>16.600000000000001</v>
      </c>
      <c r="J482" s="1252">
        <f t="shared" si="278"/>
        <v>0</v>
      </c>
      <c r="K482" s="1252">
        <f t="shared" si="278"/>
        <v>0</v>
      </c>
      <c r="L482" s="1252">
        <f t="shared" si="278"/>
        <v>0</v>
      </c>
      <c r="M482" s="1252">
        <f t="shared" si="278"/>
        <v>0</v>
      </c>
      <c r="N482" s="1253">
        <f t="shared" si="278"/>
        <v>0</v>
      </c>
    </row>
    <row r="483" spans="1:14" s="896" customFormat="1" ht="14">
      <c r="A483" s="2651"/>
      <c r="B483" s="2654" t="s">
        <v>2700</v>
      </c>
      <c r="C483" s="1254" t="s">
        <v>2692</v>
      </c>
      <c r="D483" s="1063"/>
      <c r="E483" s="1255"/>
      <c r="F483" s="1256" t="s">
        <v>2701</v>
      </c>
      <c r="G483" s="1257">
        <f>IF($F357&lt;=5000000,ROUND(18.03*(5000^-0.2027)*(G482^0.4017),2),ROUND(18.03*(($F357/1000)^-0.2027)*(G482^0.4017),2))</f>
        <v>4.6900000000000004</v>
      </c>
      <c r="H483" s="1257">
        <f t="shared" ref="H483:N483" si="279">IF($F357&lt;=5000000,ROUND(18.03*(5000^-0.2027)*(H482^0.4017),2),ROUND(18.03*(($F357/1000)^-0.2027)*(H482^0.4017),2))</f>
        <v>3.98</v>
      </c>
      <c r="I483" s="1257">
        <f t="shared" si="279"/>
        <v>4.6900000000000004</v>
      </c>
      <c r="J483" s="1257">
        <f t="shared" si="279"/>
        <v>0</v>
      </c>
      <c r="K483" s="1257">
        <f t="shared" si="279"/>
        <v>0</v>
      </c>
      <c r="L483" s="1257">
        <f t="shared" si="279"/>
        <v>0</v>
      </c>
      <c r="M483" s="1257">
        <f t="shared" si="279"/>
        <v>0</v>
      </c>
      <c r="N483" s="1326">
        <f t="shared" si="279"/>
        <v>0</v>
      </c>
    </row>
    <row r="484" spans="1:14" s="896" customFormat="1" ht="14">
      <c r="A484" s="2652"/>
      <c r="B484" s="2655"/>
      <c r="C484" s="2657" t="s">
        <v>2702</v>
      </c>
      <c r="D484" s="1133"/>
      <c r="E484" s="1258"/>
      <c r="F484" s="1256" t="s">
        <v>2695</v>
      </c>
      <c r="G484" s="1259">
        <f>IF($F357&lt;=5000000,ROUND(6.07,2),0)</f>
        <v>0</v>
      </c>
      <c r="H484" s="1259">
        <f t="shared" ref="H484:N484" si="280">IF($F357&lt;=5000000,ROUND(6.07,2),0)</f>
        <v>0</v>
      </c>
      <c r="I484" s="1259">
        <f t="shared" si="280"/>
        <v>0</v>
      </c>
      <c r="J484" s="1259">
        <f t="shared" si="280"/>
        <v>0</v>
      </c>
      <c r="K484" s="1259">
        <f t="shared" si="280"/>
        <v>0</v>
      </c>
      <c r="L484" s="1259">
        <f t="shared" si="280"/>
        <v>0</v>
      </c>
      <c r="M484" s="1259">
        <f t="shared" si="280"/>
        <v>0</v>
      </c>
      <c r="N484" s="1327">
        <f t="shared" si="280"/>
        <v>0</v>
      </c>
    </row>
    <row r="485" spans="1:14" s="896" customFormat="1" ht="13.5" customHeight="1">
      <c r="A485" s="2652"/>
      <c r="B485" s="2655"/>
      <c r="C485" s="2658"/>
      <c r="D485" s="1260"/>
      <c r="E485" s="1261"/>
      <c r="F485" s="1256" t="s">
        <v>2696</v>
      </c>
      <c r="G485" s="1259">
        <f>IF($F357&lt;=5000000,ROUND(3.59,2),0)</f>
        <v>0</v>
      </c>
      <c r="H485" s="1259">
        <f t="shared" ref="H485:N485" si="281">IF($F357&lt;=5000000,ROUND(3.59,2),0)</f>
        <v>0</v>
      </c>
      <c r="I485" s="1259">
        <f t="shared" si="281"/>
        <v>0</v>
      </c>
      <c r="J485" s="1259">
        <f t="shared" si="281"/>
        <v>0</v>
      </c>
      <c r="K485" s="1259">
        <f t="shared" si="281"/>
        <v>0</v>
      </c>
      <c r="L485" s="1259">
        <f t="shared" si="281"/>
        <v>0</v>
      </c>
      <c r="M485" s="1259">
        <f t="shared" si="281"/>
        <v>0</v>
      </c>
      <c r="N485" s="1327">
        <f t="shared" si="281"/>
        <v>0</v>
      </c>
    </row>
    <row r="486" spans="1:14" s="896" customFormat="1" ht="14">
      <c r="A486" s="2652"/>
      <c r="B486" s="2655"/>
      <c r="C486" s="2657" t="s">
        <v>2703</v>
      </c>
      <c r="D486" s="1133"/>
      <c r="E486" s="1258"/>
      <c r="F486" s="1256" t="s">
        <v>2695</v>
      </c>
      <c r="G486" s="1262">
        <f>IF($F357&gt;5000000,ROUND(11.74*($F357/1000)^-0.0774,2),0)</f>
        <v>4.5599999999999996</v>
      </c>
      <c r="H486" s="1262">
        <f t="shared" ref="H486:N486" si="282">IF($F357&gt;5000000,ROUND(11.74*($F357/1000)^-0.0774,2),0)</f>
        <v>4.5599999999999996</v>
      </c>
      <c r="I486" s="1262">
        <f t="shared" si="282"/>
        <v>4.5599999999999996</v>
      </c>
      <c r="J486" s="1262">
        <f t="shared" si="282"/>
        <v>4.5599999999999996</v>
      </c>
      <c r="K486" s="1262">
        <f t="shared" si="282"/>
        <v>4.5599999999999996</v>
      </c>
      <c r="L486" s="1262">
        <f t="shared" si="282"/>
        <v>4.5599999999999996</v>
      </c>
      <c r="M486" s="1262">
        <f t="shared" si="282"/>
        <v>4.5599999999999996</v>
      </c>
      <c r="N486" s="1328">
        <f t="shared" si="282"/>
        <v>4.5599999999999996</v>
      </c>
    </row>
    <row r="487" spans="1:14" s="896" customFormat="1" ht="13.5" customHeight="1">
      <c r="A487" s="2653"/>
      <c r="B487" s="2656"/>
      <c r="C487" s="2658"/>
      <c r="D487" s="1260"/>
      <c r="E487" s="1261"/>
      <c r="F487" s="1256" t="s">
        <v>2696</v>
      </c>
      <c r="G487" s="1262">
        <f>IF($F357&gt;5000000,ROUND(6.94*($F357/1000)^-0.0774,2),0)</f>
        <v>2.7</v>
      </c>
      <c r="H487" s="1262">
        <f t="shared" ref="H487:N487" si="283">IF($F357&gt;5000000,ROUND(6.94*($F357/1000)^-0.0774,2),0)</f>
        <v>2.7</v>
      </c>
      <c r="I487" s="1262">
        <f t="shared" si="283"/>
        <v>2.7</v>
      </c>
      <c r="J487" s="1262">
        <f t="shared" si="283"/>
        <v>2.7</v>
      </c>
      <c r="K487" s="1262">
        <f t="shared" si="283"/>
        <v>2.7</v>
      </c>
      <c r="L487" s="1262">
        <f t="shared" si="283"/>
        <v>2.7</v>
      </c>
      <c r="M487" s="1262">
        <f t="shared" si="283"/>
        <v>2.7</v>
      </c>
      <c r="N487" s="1328">
        <f t="shared" si="283"/>
        <v>2.7</v>
      </c>
    </row>
    <row r="488" spans="1:14" s="896" customFormat="1" ht="13.5" customHeight="1">
      <c r="A488" s="2645" t="s">
        <v>2698</v>
      </c>
      <c r="B488" s="2646"/>
      <c r="C488" s="2646"/>
      <c r="D488" s="2646"/>
      <c r="E488" s="2646"/>
      <c r="F488" s="2647"/>
      <c r="G488" s="1265">
        <f>IF($F357&lt;=5000000,IF(G$483&gt;G$484,G$484,IF(G$483&lt;G$485,G$485,G$483)),IF(G$483&gt;G$486,G$486,IF(G$483&lt;G$487,G$487,G$483)))</f>
        <v>4.5599999999999996</v>
      </c>
      <c r="H488" s="1265">
        <f t="shared" ref="H488:N488" si="284">IF($F357&lt;=5000000,IF(H$483&gt;H$484,H$484,IF(H$483&lt;H$485,H$485,H$483)),IF(H$483&gt;H$486,H$486,IF(H$483&lt;H$487,H$487,H$483)))</f>
        <v>3.98</v>
      </c>
      <c r="I488" s="1265">
        <f t="shared" si="284"/>
        <v>4.5599999999999996</v>
      </c>
      <c r="J488" s="1265">
        <f t="shared" si="284"/>
        <v>2.7</v>
      </c>
      <c r="K488" s="1265">
        <f t="shared" si="284"/>
        <v>2.7</v>
      </c>
      <c r="L488" s="1265">
        <f t="shared" si="284"/>
        <v>2.7</v>
      </c>
      <c r="M488" s="1265">
        <f t="shared" si="284"/>
        <v>2.7</v>
      </c>
      <c r="N488" s="1329">
        <f t="shared" si="284"/>
        <v>2.7</v>
      </c>
    </row>
    <row r="489" spans="1:14" s="896" customFormat="1" ht="15" thickBot="1">
      <c r="A489" s="2648" t="s">
        <v>2699</v>
      </c>
      <c r="B489" s="2649"/>
      <c r="C489" s="2649"/>
      <c r="D489" s="2649"/>
      <c r="E489" s="2649"/>
      <c r="F489" s="2650"/>
      <c r="G489" s="1268">
        <f>ROUND(G488*IF(AND(G305="駅施設",G306="無し"),0.7,IF(AND(G305="駅施設",G306="有り"),0.7,IF(AND(G305="地上建物",G306="無し"),0.9,IF(AND(G305="地上建物",G306="有り"),1,0)))),2)</f>
        <v>3.19</v>
      </c>
      <c r="H489" s="1268">
        <f t="shared" ref="H489:N489" si="285">ROUND(H488*IF(AND(H305="駅施設",H306="無し"),0.7,IF(AND(H305="駅施設",H306="有り"),0.7,IF(AND(H305="地上建物",H306="無し"),0.9,IF(AND(H305="地上建物",H306="有り"),1,0)))),2)</f>
        <v>2.79</v>
      </c>
      <c r="I489" s="1268">
        <f t="shared" si="285"/>
        <v>3.19</v>
      </c>
      <c r="J489" s="1268">
        <f t="shared" si="285"/>
        <v>1.89</v>
      </c>
      <c r="K489" s="1268">
        <f t="shared" si="285"/>
        <v>1.89</v>
      </c>
      <c r="L489" s="1268">
        <f t="shared" si="285"/>
        <v>1.89</v>
      </c>
      <c r="M489" s="1268">
        <f t="shared" si="285"/>
        <v>1.89</v>
      </c>
      <c r="N489" s="1268">
        <f t="shared" si="285"/>
        <v>1.89</v>
      </c>
    </row>
    <row r="490" spans="1:14" s="896" customFormat="1" ht="15" thickBot="1">
      <c r="G490" s="1246"/>
      <c r="H490" s="1246"/>
      <c r="I490" s="1246"/>
      <c r="J490" s="1246"/>
      <c r="K490" s="1246"/>
      <c r="L490" s="1246"/>
      <c r="M490" s="1246"/>
      <c r="N490" s="1246"/>
    </row>
    <row r="491" spans="1:14" s="896" customFormat="1" ht="14">
      <c r="A491" s="1247"/>
      <c r="B491" s="1248"/>
      <c r="C491" s="1249" t="s">
        <v>2704</v>
      </c>
      <c r="D491" s="1250"/>
      <c r="E491" s="1248"/>
      <c r="F491" s="1251" t="s">
        <v>2690</v>
      </c>
      <c r="G491" s="1252">
        <f t="shared" ref="G491:N491" si="286">+G499</f>
        <v>16.600000000000001</v>
      </c>
      <c r="H491" s="1252">
        <f t="shared" si="286"/>
        <v>11</v>
      </c>
      <c r="I491" s="1252">
        <f t="shared" si="286"/>
        <v>16.600000000000001</v>
      </c>
      <c r="J491" s="1252">
        <f t="shared" si="286"/>
        <v>0</v>
      </c>
      <c r="K491" s="1252">
        <f t="shared" si="286"/>
        <v>0</v>
      </c>
      <c r="L491" s="1252">
        <f t="shared" si="286"/>
        <v>0</v>
      </c>
      <c r="M491" s="1252">
        <f t="shared" si="286"/>
        <v>0</v>
      </c>
      <c r="N491" s="1253">
        <f t="shared" si="286"/>
        <v>0</v>
      </c>
    </row>
    <row r="492" spans="1:14" s="896" customFormat="1" ht="14">
      <c r="A492" s="2651"/>
      <c r="B492" s="2654" t="s">
        <v>2691</v>
      </c>
      <c r="C492" s="1254" t="s">
        <v>2705</v>
      </c>
      <c r="D492" s="1063"/>
      <c r="E492" s="1255"/>
      <c r="F492" s="1256" t="s">
        <v>2706</v>
      </c>
      <c r="G492" s="1257">
        <f>IF($F396&lt;=10000000,ROUND(151.08*((10000)^-0.3396)*(G491^0.586),2),ROUND(151.08*(($F396/1000)^-0.3396)*(G491^0.586),2))</f>
        <v>12.11</v>
      </c>
      <c r="H492" s="1257">
        <f t="shared" ref="H492:N492" si="287">IF($F396&lt;=10000000,ROUND(151.08*((10000)^-0.3396)*(H491^0.586),2),ROUND(151.08*(($F396/1000)^-0.3396)*(H491^0.586),2))</f>
        <v>9.52</v>
      </c>
      <c r="I492" s="1257">
        <f t="shared" si="287"/>
        <v>12.11</v>
      </c>
      <c r="J492" s="1257">
        <f t="shared" si="287"/>
        <v>0</v>
      </c>
      <c r="K492" s="1257">
        <f t="shared" si="287"/>
        <v>0</v>
      </c>
      <c r="L492" s="1257">
        <f t="shared" si="287"/>
        <v>0</v>
      </c>
      <c r="M492" s="1257">
        <f t="shared" si="287"/>
        <v>0</v>
      </c>
      <c r="N492" s="1326">
        <f t="shared" si="287"/>
        <v>0</v>
      </c>
    </row>
    <row r="493" spans="1:14" s="896" customFormat="1" ht="14">
      <c r="A493" s="2652"/>
      <c r="B493" s="2655"/>
      <c r="C493" s="2657" t="s">
        <v>2707</v>
      </c>
      <c r="D493" s="1133"/>
      <c r="E493" s="1258"/>
      <c r="F493" s="1256" t="s">
        <v>2695</v>
      </c>
      <c r="G493" s="1259">
        <f>IF($F396&lt;=10000000,ROUND(20.13,2),0)</f>
        <v>0</v>
      </c>
      <c r="H493" s="1259">
        <f t="shared" ref="H493:N493" si="288">IF($F396&lt;=10000000,ROUND(20.13,2),0)</f>
        <v>0</v>
      </c>
      <c r="I493" s="1259">
        <f t="shared" si="288"/>
        <v>0</v>
      </c>
      <c r="J493" s="1259">
        <f t="shared" si="288"/>
        <v>0</v>
      </c>
      <c r="K493" s="1259">
        <f t="shared" si="288"/>
        <v>0</v>
      </c>
      <c r="L493" s="1259">
        <f t="shared" si="288"/>
        <v>0</v>
      </c>
      <c r="M493" s="1259">
        <f t="shared" si="288"/>
        <v>0</v>
      </c>
      <c r="N493" s="1327">
        <f t="shared" si="288"/>
        <v>0</v>
      </c>
    </row>
    <row r="494" spans="1:14" s="896" customFormat="1" ht="13.5" customHeight="1">
      <c r="A494" s="2652"/>
      <c r="B494" s="2655"/>
      <c r="C494" s="2658"/>
      <c r="D494" s="1260"/>
      <c r="E494" s="1261"/>
      <c r="F494" s="1256" t="s">
        <v>2696</v>
      </c>
      <c r="G494" s="1259">
        <f>IF($F396&lt;=10000000,ROUND(10.01,2),0)</f>
        <v>0</v>
      </c>
      <c r="H494" s="1259">
        <f t="shared" ref="H494:N494" si="289">IF($F396&lt;=10000000,ROUND(10.01,2),0)</f>
        <v>0</v>
      </c>
      <c r="I494" s="1259">
        <f t="shared" si="289"/>
        <v>0</v>
      </c>
      <c r="J494" s="1259">
        <f t="shared" si="289"/>
        <v>0</v>
      </c>
      <c r="K494" s="1259">
        <f t="shared" si="289"/>
        <v>0</v>
      </c>
      <c r="L494" s="1259">
        <f t="shared" si="289"/>
        <v>0</v>
      </c>
      <c r="M494" s="1259">
        <f t="shared" si="289"/>
        <v>0</v>
      </c>
      <c r="N494" s="1327">
        <f t="shared" si="289"/>
        <v>0</v>
      </c>
    </row>
    <row r="495" spans="1:14" s="896" customFormat="1" ht="14">
      <c r="A495" s="2652"/>
      <c r="B495" s="2655"/>
      <c r="C495" s="2657" t="s">
        <v>2708</v>
      </c>
      <c r="D495" s="1133"/>
      <c r="E495" s="1258"/>
      <c r="F495" s="1256" t="s">
        <v>2695</v>
      </c>
      <c r="G495" s="1262">
        <f>IF($F396&gt;10000000,ROUND(75.97*($F396/1000)^-0.1442,2),0)</f>
        <v>12.93</v>
      </c>
      <c r="H495" s="1262">
        <f t="shared" ref="H495:N495" si="290">IF($F396&gt;10000000,ROUND(75.97*($F396/1000)^-0.1442,2),0)</f>
        <v>12.93</v>
      </c>
      <c r="I495" s="1262">
        <f t="shared" si="290"/>
        <v>12.93</v>
      </c>
      <c r="J495" s="1262">
        <f t="shared" si="290"/>
        <v>12.93</v>
      </c>
      <c r="K495" s="1262">
        <f t="shared" si="290"/>
        <v>12.93</v>
      </c>
      <c r="L495" s="1262">
        <f t="shared" si="290"/>
        <v>12.93</v>
      </c>
      <c r="M495" s="1262">
        <f t="shared" si="290"/>
        <v>12.93</v>
      </c>
      <c r="N495" s="1328">
        <f t="shared" si="290"/>
        <v>12.93</v>
      </c>
    </row>
    <row r="496" spans="1:14" s="896" customFormat="1" ht="13.5" customHeight="1">
      <c r="A496" s="2653"/>
      <c r="B496" s="2656"/>
      <c r="C496" s="2658"/>
      <c r="D496" s="1260"/>
      <c r="E496" s="1261"/>
      <c r="F496" s="1256" t="s">
        <v>2696</v>
      </c>
      <c r="G496" s="1262">
        <f>IF($F396&gt;10000000,ROUND(37.76*($F396/1000)^-0.1442,2),0)</f>
        <v>6.43</v>
      </c>
      <c r="H496" s="1262">
        <f t="shared" ref="H496:N496" si="291">IF($F396&gt;10000000,ROUND(37.76*($F396/1000)^-0.1442,2),0)</f>
        <v>6.43</v>
      </c>
      <c r="I496" s="1262">
        <f t="shared" si="291"/>
        <v>6.43</v>
      </c>
      <c r="J496" s="1262">
        <f t="shared" si="291"/>
        <v>6.43</v>
      </c>
      <c r="K496" s="1262">
        <f t="shared" si="291"/>
        <v>6.43</v>
      </c>
      <c r="L496" s="1262">
        <f t="shared" si="291"/>
        <v>6.43</v>
      </c>
      <c r="M496" s="1262">
        <f t="shared" si="291"/>
        <v>6.43</v>
      </c>
      <c r="N496" s="1328">
        <f t="shared" si="291"/>
        <v>6.43</v>
      </c>
    </row>
    <row r="497" spans="1:14" s="896" customFormat="1" ht="15" thickBot="1">
      <c r="A497" s="2660" t="s">
        <v>2709</v>
      </c>
      <c r="B497" s="2661"/>
      <c r="C497" s="2661"/>
      <c r="D497" s="2661"/>
      <c r="E497" s="1266"/>
      <c r="F497" s="1267"/>
      <c r="G497" s="1268">
        <f>IF($F396&lt;=10000000,IF(G$492&gt;G$493,G$493,IF(G$492&lt;G$494,G$494,G$492)),IF(G$492&gt;G$495,G$495,IF(G$492&lt;G$496,G$496,G$492)))</f>
        <v>12.11</v>
      </c>
      <c r="H497" s="1268">
        <f t="shared" ref="H497:N497" si="292">IF($F396&lt;=10000000,IF(H$492&gt;H$493,H$493,IF(H$492&lt;H$494,H$494,H$492)),IF(H$492&gt;H$495,H$495,IF(H$492&lt;H$496,H$496,H$492)))</f>
        <v>9.52</v>
      </c>
      <c r="I497" s="1268">
        <f t="shared" si="292"/>
        <v>12.11</v>
      </c>
      <c r="J497" s="1268">
        <f t="shared" si="292"/>
        <v>6.43</v>
      </c>
      <c r="K497" s="1268">
        <f t="shared" si="292"/>
        <v>6.43</v>
      </c>
      <c r="L497" s="1268">
        <f t="shared" si="292"/>
        <v>6.43</v>
      </c>
      <c r="M497" s="1268">
        <f t="shared" si="292"/>
        <v>6.43</v>
      </c>
      <c r="N497" s="1330">
        <f t="shared" si="292"/>
        <v>6.43</v>
      </c>
    </row>
    <row r="498" spans="1:14" s="896" customFormat="1" ht="15" thickBot="1">
      <c r="G498" s="1264"/>
      <c r="H498" s="1264"/>
      <c r="I498" s="1264"/>
      <c r="J498" s="1264"/>
      <c r="K498" s="1264"/>
      <c r="L498" s="1264"/>
      <c r="M498" s="1264"/>
      <c r="N498" s="1264"/>
    </row>
    <row r="499" spans="1:14" s="896" customFormat="1" ht="14">
      <c r="A499" s="1247"/>
      <c r="B499" s="1248"/>
      <c r="C499" s="1249" t="s">
        <v>2704</v>
      </c>
      <c r="D499" s="1250"/>
      <c r="E499" s="1248"/>
      <c r="F499" s="1251" t="s">
        <v>2690</v>
      </c>
      <c r="G499" s="1252">
        <f t="shared" ref="G499:N499" si="293">+G300</f>
        <v>16.600000000000001</v>
      </c>
      <c r="H499" s="1252">
        <f t="shared" si="293"/>
        <v>11</v>
      </c>
      <c r="I499" s="1252">
        <f t="shared" si="293"/>
        <v>16.600000000000001</v>
      </c>
      <c r="J499" s="1252">
        <f t="shared" si="293"/>
        <v>0</v>
      </c>
      <c r="K499" s="1252">
        <f t="shared" si="293"/>
        <v>0</v>
      </c>
      <c r="L499" s="1252">
        <f t="shared" si="293"/>
        <v>0</v>
      </c>
      <c r="M499" s="1252">
        <f t="shared" si="293"/>
        <v>0</v>
      </c>
      <c r="N499" s="1253">
        <f t="shared" si="293"/>
        <v>0</v>
      </c>
    </row>
    <row r="500" spans="1:14" s="896" customFormat="1" ht="14">
      <c r="A500" s="2651"/>
      <c r="B500" s="2654" t="s">
        <v>2700</v>
      </c>
      <c r="C500" s="1254" t="s">
        <v>2705</v>
      </c>
      <c r="D500" s="1063"/>
      <c r="E500" s="1255"/>
      <c r="F500" s="1256" t="s">
        <v>2706</v>
      </c>
      <c r="G500" s="1257">
        <f>IF($F396&lt;=5000000,ROUND(356.2*((5000)^-0.4085)*(G499^0.5766),2),ROUND(356.2*(($F396/1000)^-0.4085)*(G499^0.5766),2))</f>
        <v>11.93</v>
      </c>
      <c r="H500" s="1257">
        <f t="shared" ref="H500:N500" si="294">IF($F396&lt;=5000000,ROUND(356.2*((5000)^-0.4085)*(H499^0.5766),2),ROUND(356.2*(($F396/1000)^-0.4085)*(H499^0.5766),2))</f>
        <v>9.41</v>
      </c>
      <c r="I500" s="1257">
        <f t="shared" si="294"/>
        <v>11.93</v>
      </c>
      <c r="J500" s="1257">
        <f t="shared" si="294"/>
        <v>0</v>
      </c>
      <c r="K500" s="1257">
        <f t="shared" si="294"/>
        <v>0</v>
      </c>
      <c r="L500" s="1257">
        <f t="shared" si="294"/>
        <v>0</v>
      </c>
      <c r="M500" s="1257">
        <f t="shared" si="294"/>
        <v>0</v>
      </c>
      <c r="N500" s="1326">
        <f t="shared" si="294"/>
        <v>0</v>
      </c>
    </row>
    <row r="501" spans="1:14" s="896" customFormat="1" ht="14">
      <c r="A501" s="2652"/>
      <c r="B501" s="2655"/>
      <c r="C501" s="2657" t="s">
        <v>2710</v>
      </c>
      <c r="D501" s="1133"/>
      <c r="E501" s="1258"/>
      <c r="F501" s="1256" t="s">
        <v>2695</v>
      </c>
      <c r="G501" s="1259">
        <f>IF($F396&lt;=5000000,ROUND(26.86,2),0)</f>
        <v>0</v>
      </c>
      <c r="H501" s="1259">
        <f t="shared" ref="H501:N501" si="295">IF($F396&lt;=5000000,ROUND(26.86,2),0)</f>
        <v>0</v>
      </c>
      <c r="I501" s="1259">
        <f t="shared" si="295"/>
        <v>0</v>
      </c>
      <c r="J501" s="1259">
        <f t="shared" si="295"/>
        <v>0</v>
      </c>
      <c r="K501" s="1259">
        <f t="shared" si="295"/>
        <v>0</v>
      </c>
      <c r="L501" s="1259">
        <f t="shared" si="295"/>
        <v>0</v>
      </c>
      <c r="M501" s="1259">
        <f t="shared" si="295"/>
        <v>0</v>
      </c>
      <c r="N501" s="1327">
        <f t="shared" si="295"/>
        <v>0</v>
      </c>
    </row>
    <row r="502" spans="1:14" s="896" customFormat="1" ht="13.5" customHeight="1">
      <c r="A502" s="2652"/>
      <c r="B502" s="2655"/>
      <c r="C502" s="2658"/>
      <c r="D502" s="1260"/>
      <c r="E502" s="1261"/>
      <c r="F502" s="1256" t="s">
        <v>2696</v>
      </c>
      <c r="G502" s="1259">
        <f>IF($F396&lt;=5000000,ROUND(12.7,2),0)</f>
        <v>0</v>
      </c>
      <c r="H502" s="1259">
        <f t="shared" ref="H502:N502" si="296">IF($F396&lt;=5000000,ROUND(12.7,2),0)</f>
        <v>0</v>
      </c>
      <c r="I502" s="1259">
        <f t="shared" si="296"/>
        <v>0</v>
      </c>
      <c r="J502" s="1259">
        <f t="shared" si="296"/>
        <v>0</v>
      </c>
      <c r="K502" s="1259">
        <f t="shared" si="296"/>
        <v>0</v>
      </c>
      <c r="L502" s="1259">
        <f t="shared" si="296"/>
        <v>0</v>
      </c>
      <c r="M502" s="1259">
        <f t="shared" si="296"/>
        <v>0</v>
      </c>
      <c r="N502" s="1327">
        <f t="shared" si="296"/>
        <v>0</v>
      </c>
    </row>
    <row r="503" spans="1:14" s="896" customFormat="1" ht="14">
      <c r="A503" s="2652"/>
      <c r="B503" s="2655"/>
      <c r="C503" s="2657" t="s">
        <v>2711</v>
      </c>
      <c r="D503" s="1133"/>
      <c r="E503" s="1258"/>
      <c r="F503" s="1256" t="s">
        <v>2695</v>
      </c>
      <c r="G503" s="1262">
        <f>IF($F396&gt;5000000,ROUND(184.58*($F396/1000)^-0.2263,2),0)</f>
        <v>11.47</v>
      </c>
      <c r="H503" s="1262">
        <f t="shared" ref="H503:N503" si="297">IF($F396&gt;5000000,ROUND(184.58*($F396/1000)^-0.2263,2),0)</f>
        <v>11.47</v>
      </c>
      <c r="I503" s="1262">
        <f t="shared" si="297"/>
        <v>11.47</v>
      </c>
      <c r="J503" s="1262">
        <f t="shared" si="297"/>
        <v>11.47</v>
      </c>
      <c r="K503" s="1262">
        <f t="shared" si="297"/>
        <v>11.47</v>
      </c>
      <c r="L503" s="1262">
        <f t="shared" si="297"/>
        <v>11.47</v>
      </c>
      <c r="M503" s="1262">
        <f t="shared" si="297"/>
        <v>11.47</v>
      </c>
      <c r="N503" s="1328">
        <f t="shared" si="297"/>
        <v>11.47</v>
      </c>
    </row>
    <row r="504" spans="1:14" s="896" customFormat="1" ht="13.5" customHeight="1">
      <c r="A504" s="2653"/>
      <c r="B504" s="2656"/>
      <c r="C504" s="2658"/>
      <c r="D504" s="1260"/>
      <c r="E504" s="1261"/>
      <c r="F504" s="1256" t="s">
        <v>2696</v>
      </c>
      <c r="G504" s="1262">
        <f>IF($F396&gt;5000000,ROUND(87.29*($F396/1000)^-0.2263,2),0)</f>
        <v>5.42</v>
      </c>
      <c r="H504" s="1262">
        <f t="shared" ref="H504:N504" si="298">IF($F396&gt;5000000,ROUND(87.29*($F396/1000)^-0.2263,2),0)</f>
        <v>5.42</v>
      </c>
      <c r="I504" s="1262">
        <f t="shared" si="298"/>
        <v>5.42</v>
      </c>
      <c r="J504" s="1262">
        <f t="shared" si="298"/>
        <v>5.42</v>
      </c>
      <c r="K504" s="1262">
        <f t="shared" si="298"/>
        <v>5.42</v>
      </c>
      <c r="L504" s="1262">
        <f t="shared" si="298"/>
        <v>5.42</v>
      </c>
      <c r="M504" s="1262">
        <f t="shared" si="298"/>
        <v>5.42</v>
      </c>
      <c r="N504" s="1328">
        <f t="shared" si="298"/>
        <v>5.42</v>
      </c>
    </row>
    <row r="505" spans="1:14" s="896" customFormat="1" ht="15" thickBot="1">
      <c r="A505" s="2660" t="s">
        <v>2709</v>
      </c>
      <c r="B505" s="2661"/>
      <c r="C505" s="2661"/>
      <c r="D505" s="2661"/>
      <c r="E505" s="1269"/>
      <c r="F505" s="1267"/>
      <c r="G505" s="1270">
        <f>IF($F396&lt;=5000000,IF(G$500&gt;G$501,G$501,IF(G$500&lt;G$502,G$502,G$500)),IF(G$500&gt;G$503,G$503,IF(G$500&lt;G$504,G$504,G$500)))</f>
        <v>11.47</v>
      </c>
      <c r="H505" s="1270">
        <f t="shared" ref="H505:N505" si="299">IF($F396&lt;=5000000,IF(H$500&gt;H$501,H$501,IF(H$500&lt;H$502,H$502,H$500)),IF(H$500&gt;H$503,H$503,IF(H$500&lt;H$504,H$504,H$500)))</f>
        <v>9.41</v>
      </c>
      <c r="I505" s="1270">
        <f t="shared" si="299"/>
        <v>11.47</v>
      </c>
      <c r="J505" s="1270">
        <f t="shared" si="299"/>
        <v>5.42</v>
      </c>
      <c r="K505" s="1270">
        <f t="shared" si="299"/>
        <v>5.42</v>
      </c>
      <c r="L505" s="1270">
        <f t="shared" si="299"/>
        <v>5.42</v>
      </c>
      <c r="M505" s="1270">
        <f t="shared" si="299"/>
        <v>5.42</v>
      </c>
      <c r="N505" s="1331">
        <f t="shared" si="299"/>
        <v>5.42</v>
      </c>
    </row>
    <row r="506" spans="1:14" s="896" customFormat="1" ht="15" thickBot="1">
      <c r="G506" s="1246"/>
      <c r="H506" s="1246"/>
      <c r="I506" s="1246"/>
      <c r="J506" s="1246"/>
      <c r="K506" s="1246"/>
      <c r="L506" s="1246"/>
      <c r="M506" s="1246"/>
      <c r="N506" s="1246"/>
    </row>
    <row r="507" spans="1:14" s="896" customFormat="1" ht="14">
      <c r="A507" s="1247"/>
      <c r="B507" s="1248"/>
      <c r="C507" s="1249" t="s">
        <v>2712</v>
      </c>
      <c r="D507" s="1250"/>
      <c r="E507" s="1248"/>
      <c r="F507" s="1251"/>
      <c r="G507" s="1271"/>
      <c r="H507" s="1272"/>
      <c r="I507" s="1273"/>
      <c r="J507" s="1273"/>
      <c r="K507" s="1273"/>
      <c r="L507" s="1273"/>
      <c r="M507" s="1273"/>
      <c r="N507" s="1273"/>
    </row>
    <row r="508" spans="1:14" s="896" customFormat="1" ht="14">
      <c r="A508" s="2651"/>
      <c r="B508" s="2654" t="s">
        <v>79</v>
      </c>
      <c r="C508" s="1254" t="s">
        <v>2713</v>
      </c>
      <c r="D508" s="1063"/>
      <c r="E508" s="1255"/>
      <c r="F508" s="1256" t="s">
        <v>2714</v>
      </c>
      <c r="G508" s="1274">
        <f>ROUND(28.978-3.173*LOG($F439/1000),2)</f>
        <v>11.91</v>
      </c>
      <c r="H508" s="1275"/>
      <c r="I508" s="1276"/>
      <c r="J508" s="1276"/>
      <c r="K508" s="1276"/>
      <c r="L508" s="1276"/>
      <c r="M508" s="1276"/>
      <c r="N508" s="1276"/>
    </row>
    <row r="509" spans="1:14" s="896" customFormat="1" ht="13.5" customHeight="1">
      <c r="A509" s="2652"/>
      <c r="B509" s="2655"/>
      <c r="C509" s="1277" t="s">
        <v>2715</v>
      </c>
      <c r="D509" s="1133"/>
      <c r="E509" s="1133"/>
      <c r="F509" s="1278"/>
      <c r="G509" s="1279">
        <f>IF($F439&lt;=5000000,17.24,0)</f>
        <v>0</v>
      </c>
      <c r="H509" s="1280"/>
      <c r="I509" s="1281"/>
      <c r="J509" s="147"/>
      <c r="K509" s="1281"/>
      <c r="L509" s="1281"/>
      <c r="M509" s="1281"/>
      <c r="N509" s="1281"/>
    </row>
    <row r="510" spans="1:14" s="896" customFormat="1" ht="14">
      <c r="A510" s="2653"/>
      <c r="B510" s="2656"/>
      <c r="C510" s="1277" t="s">
        <v>2716</v>
      </c>
      <c r="D510" s="1133"/>
      <c r="E510" s="1063"/>
      <c r="F510" s="1278"/>
      <c r="G510" s="1279">
        <f>IF($F439&gt;3000000000,8.43,0)</f>
        <v>0</v>
      </c>
      <c r="H510" s="1282"/>
      <c r="I510" s="1283"/>
      <c r="J510" s="1283"/>
      <c r="K510" s="1283"/>
      <c r="L510" s="1283"/>
      <c r="M510" s="1283"/>
      <c r="N510" s="1283"/>
    </row>
    <row r="511" spans="1:14" s="896" customFormat="1" ht="15" thickBot="1">
      <c r="A511" s="2660" t="s">
        <v>2717</v>
      </c>
      <c r="B511" s="2661"/>
      <c r="C511" s="2661"/>
      <c r="D511" s="2661"/>
      <c r="E511" s="1269"/>
      <c r="F511" s="1267"/>
      <c r="G511" s="1284">
        <f>IF($F439&lt;=5000000,G509,IF($F439&gt;3000000000,G510,G508))</f>
        <v>11.91</v>
      </c>
      <c r="H511" s="1285"/>
      <c r="I511" s="1286"/>
      <c r="J511" s="1286"/>
      <c r="K511" s="1286"/>
      <c r="L511" s="1286"/>
      <c r="M511" s="1286"/>
      <c r="N511" s="1286"/>
    </row>
  </sheetData>
  <sheetProtection selectLockedCells="1" selectUnlockedCells="1"/>
  <mergeCells count="167"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F1:K1"/>
    <mergeCell ref="C2:E2"/>
    <mergeCell ref="B4:D4"/>
    <mergeCell ref="B5:D5"/>
    <mergeCell ref="B6:D6"/>
    <mergeCell ref="A10:F10"/>
    <mergeCell ref="A46:C46"/>
    <mergeCell ref="A47:A60"/>
    <mergeCell ref="B47:B50"/>
    <mergeCell ref="B51:B57"/>
  </mergeCells>
  <phoneticPr fontId="2"/>
  <conditionalFormatting sqref="F87 A88 F303 A304">
    <cfRule type="expression" dxfId="11" priority="2" stopIfTrue="1">
      <formula>AND($F$113&gt;5000000,OR($E$87="無し",$E$87="なし"))</formula>
    </cfRule>
  </conditionalFormatting>
  <conditionalFormatting sqref="A10">
    <cfRule type="expression" dxfId="10" priority="1" stopIfTrue="1">
      <formula>AND($F$113&gt;5000000,OR($E$87="無し",$E$87="なし"))</formula>
    </cfRule>
  </conditionalFormatting>
  <dataValidations count="4">
    <dataValidation type="list" allowBlank="1" showInputMessage="1" showErrorMessage="1" sqref="E86:E87 JA86:JA87 SW86:SW87 ACS86:ACS87 AMO86:AMO87 AWK86:AWK87 BGG86:BGG87 BQC86:BQC87 BZY86:BZY87 CJU86:CJU87 CTQ86:CTQ87 DDM86:DDM87 DNI86:DNI87 DXE86:DXE87 EHA86:EHA87 EQW86:EQW87 FAS86:FAS87 FKO86:FKO87 FUK86:FUK87 GEG86:GEG87 GOC86:GOC87 GXY86:GXY87 HHU86:HHU87 HRQ86:HRQ87 IBM86:IBM87 ILI86:ILI87 IVE86:IVE87 JFA86:JFA87 JOW86:JOW87 JYS86:JYS87 KIO86:KIO87 KSK86:KSK87 LCG86:LCG87 LMC86:LMC87 LVY86:LVY87 MFU86:MFU87 MPQ86:MPQ87 MZM86:MZM87 NJI86:NJI87 NTE86:NTE87 ODA86:ODA87 OMW86:OMW87 OWS86:OWS87 PGO86:PGO87 PQK86:PQK87 QAG86:QAG87 QKC86:QKC87 QTY86:QTY87 RDU86:RDU87 RNQ86:RNQ87 RXM86:RXM87 SHI86:SHI87 SRE86:SRE87 TBA86:TBA87 TKW86:TKW87 TUS86:TUS87 UEO86:UEO87 UOK86:UOK87 UYG86:UYG87 VIC86:VIC87 VRY86:VRY87 WBU86:WBU87 WLQ86:WLQ87 WVM86:WVM87 E65622:E65623 JA65622:JA65623 SW65622:SW65623 ACS65622:ACS65623 AMO65622:AMO65623 AWK65622:AWK65623 BGG65622:BGG65623 BQC65622:BQC65623 BZY65622:BZY65623 CJU65622:CJU65623 CTQ65622:CTQ65623 DDM65622:DDM65623 DNI65622:DNI65623 DXE65622:DXE65623 EHA65622:EHA65623 EQW65622:EQW65623 FAS65622:FAS65623 FKO65622:FKO65623 FUK65622:FUK65623 GEG65622:GEG65623 GOC65622:GOC65623 GXY65622:GXY65623 HHU65622:HHU65623 HRQ65622:HRQ65623 IBM65622:IBM65623 ILI65622:ILI65623 IVE65622:IVE65623 JFA65622:JFA65623 JOW65622:JOW65623 JYS65622:JYS65623 KIO65622:KIO65623 KSK65622:KSK65623 LCG65622:LCG65623 LMC65622:LMC65623 LVY65622:LVY65623 MFU65622:MFU65623 MPQ65622:MPQ65623 MZM65622:MZM65623 NJI65622:NJI65623 NTE65622:NTE65623 ODA65622:ODA65623 OMW65622:OMW65623 OWS65622:OWS65623 PGO65622:PGO65623 PQK65622:PQK65623 QAG65622:QAG65623 QKC65622:QKC65623 QTY65622:QTY65623 RDU65622:RDU65623 RNQ65622:RNQ65623 RXM65622:RXM65623 SHI65622:SHI65623 SRE65622:SRE65623 TBA65622:TBA65623 TKW65622:TKW65623 TUS65622:TUS65623 UEO65622:UEO65623 UOK65622:UOK65623 UYG65622:UYG65623 VIC65622:VIC65623 VRY65622:VRY65623 WBU65622:WBU65623 WLQ65622:WLQ65623 WVM65622:WVM65623 E131158:E131159 JA131158:JA131159 SW131158:SW131159 ACS131158:ACS131159 AMO131158:AMO131159 AWK131158:AWK131159 BGG131158:BGG131159 BQC131158:BQC131159 BZY131158:BZY131159 CJU131158:CJU131159 CTQ131158:CTQ131159 DDM131158:DDM131159 DNI131158:DNI131159 DXE131158:DXE131159 EHA131158:EHA131159 EQW131158:EQW131159 FAS131158:FAS131159 FKO131158:FKO131159 FUK131158:FUK131159 GEG131158:GEG131159 GOC131158:GOC131159 GXY131158:GXY131159 HHU131158:HHU131159 HRQ131158:HRQ131159 IBM131158:IBM131159 ILI131158:ILI131159 IVE131158:IVE131159 JFA131158:JFA131159 JOW131158:JOW131159 JYS131158:JYS131159 KIO131158:KIO131159 KSK131158:KSK131159 LCG131158:LCG131159 LMC131158:LMC131159 LVY131158:LVY131159 MFU131158:MFU131159 MPQ131158:MPQ131159 MZM131158:MZM131159 NJI131158:NJI131159 NTE131158:NTE131159 ODA131158:ODA131159 OMW131158:OMW131159 OWS131158:OWS131159 PGO131158:PGO131159 PQK131158:PQK131159 QAG131158:QAG131159 QKC131158:QKC131159 QTY131158:QTY131159 RDU131158:RDU131159 RNQ131158:RNQ131159 RXM131158:RXM131159 SHI131158:SHI131159 SRE131158:SRE131159 TBA131158:TBA131159 TKW131158:TKW131159 TUS131158:TUS131159 UEO131158:UEO131159 UOK131158:UOK131159 UYG131158:UYG131159 VIC131158:VIC131159 VRY131158:VRY131159 WBU131158:WBU131159 WLQ131158:WLQ131159 WVM131158:WVM131159 E196694:E196695 JA196694:JA196695 SW196694:SW196695 ACS196694:ACS196695 AMO196694:AMO196695 AWK196694:AWK196695 BGG196694:BGG196695 BQC196694:BQC196695 BZY196694:BZY196695 CJU196694:CJU196695 CTQ196694:CTQ196695 DDM196694:DDM196695 DNI196694:DNI196695 DXE196694:DXE196695 EHA196694:EHA196695 EQW196694:EQW196695 FAS196694:FAS196695 FKO196694:FKO196695 FUK196694:FUK196695 GEG196694:GEG196695 GOC196694:GOC196695 GXY196694:GXY196695 HHU196694:HHU196695 HRQ196694:HRQ196695 IBM196694:IBM196695 ILI196694:ILI196695 IVE196694:IVE196695 JFA196694:JFA196695 JOW196694:JOW196695 JYS196694:JYS196695 KIO196694:KIO196695 KSK196694:KSK196695 LCG196694:LCG196695 LMC196694:LMC196695 LVY196694:LVY196695 MFU196694:MFU196695 MPQ196694:MPQ196695 MZM196694:MZM196695 NJI196694:NJI196695 NTE196694:NTE196695 ODA196694:ODA196695 OMW196694:OMW196695 OWS196694:OWS196695 PGO196694:PGO196695 PQK196694:PQK196695 QAG196694:QAG196695 QKC196694:QKC196695 QTY196694:QTY196695 RDU196694:RDU196695 RNQ196694:RNQ196695 RXM196694:RXM196695 SHI196694:SHI196695 SRE196694:SRE196695 TBA196694:TBA196695 TKW196694:TKW196695 TUS196694:TUS196695 UEO196694:UEO196695 UOK196694:UOK196695 UYG196694:UYG196695 VIC196694:VIC196695 VRY196694:VRY196695 WBU196694:WBU196695 WLQ196694:WLQ196695 WVM196694:WVM196695 E262230:E262231 JA262230:JA262231 SW262230:SW262231 ACS262230:ACS262231 AMO262230:AMO262231 AWK262230:AWK262231 BGG262230:BGG262231 BQC262230:BQC262231 BZY262230:BZY262231 CJU262230:CJU262231 CTQ262230:CTQ262231 DDM262230:DDM262231 DNI262230:DNI262231 DXE262230:DXE262231 EHA262230:EHA262231 EQW262230:EQW262231 FAS262230:FAS262231 FKO262230:FKO262231 FUK262230:FUK262231 GEG262230:GEG262231 GOC262230:GOC262231 GXY262230:GXY262231 HHU262230:HHU262231 HRQ262230:HRQ262231 IBM262230:IBM262231 ILI262230:ILI262231 IVE262230:IVE262231 JFA262230:JFA262231 JOW262230:JOW262231 JYS262230:JYS262231 KIO262230:KIO262231 KSK262230:KSK262231 LCG262230:LCG262231 LMC262230:LMC262231 LVY262230:LVY262231 MFU262230:MFU262231 MPQ262230:MPQ262231 MZM262230:MZM262231 NJI262230:NJI262231 NTE262230:NTE262231 ODA262230:ODA262231 OMW262230:OMW262231 OWS262230:OWS262231 PGO262230:PGO262231 PQK262230:PQK262231 QAG262230:QAG262231 QKC262230:QKC262231 QTY262230:QTY262231 RDU262230:RDU262231 RNQ262230:RNQ262231 RXM262230:RXM262231 SHI262230:SHI262231 SRE262230:SRE262231 TBA262230:TBA262231 TKW262230:TKW262231 TUS262230:TUS262231 UEO262230:UEO262231 UOK262230:UOK262231 UYG262230:UYG262231 VIC262230:VIC262231 VRY262230:VRY262231 WBU262230:WBU262231 WLQ262230:WLQ262231 WVM262230:WVM262231 E327766:E327767 JA327766:JA327767 SW327766:SW327767 ACS327766:ACS327767 AMO327766:AMO327767 AWK327766:AWK327767 BGG327766:BGG327767 BQC327766:BQC327767 BZY327766:BZY327767 CJU327766:CJU327767 CTQ327766:CTQ327767 DDM327766:DDM327767 DNI327766:DNI327767 DXE327766:DXE327767 EHA327766:EHA327767 EQW327766:EQW327767 FAS327766:FAS327767 FKO327766:FKO327767 FUK327766:FUK327767 GEG327766:GEG327767 GOC327766:GOC327767 GXY327766:GXY327767 HHU327766:HHU327767 HRQ327766:HRQ327767 IBM327766:IBM327767 ILI327766:ILI327767 IVE327766:IVE327767 JFA327766:JFA327767 JOW327766:JOW327767 JYS327766:JYS327767 KIO327766:KIO327767 KSK327766:KSK327767 LCG327766:LCG327767 LMC327766:LMC327767 LVY327766:LVY327767 MFU327766:MFU327767 MPQ327766:MPQ327767 MZM327766:MZM327767 NJI327766:NJI327767 NTE327766:NTE327767 ODA327766:ODA327767 OMW327766:OMW327767 OWS327766:OWS327767 PGO327766:PGO327767 PQK327766:PQK327767 QAG327766:QAG327767 QKC327766:QKC327767 QTY327766:QTY327767 RDU327766:RDU327767 RNQ327766:RNQ327767 RXM327766:RXM327767 SHI327766:SHI327767 SRE327766:SRE327767 TBA327766:TBA327767 TKW327766:TKW327767 TUS327766:TUS327767 UEO327766:UEO327767 UOK327766:UOK327767 UYG327766:UYG327767 VIC327766:VIC327767 VRY327766:VRY327767 WBU327766:WBU327767 WLQ327766:WLQ327767 WVM327766:WVM327767 E393302:E393303 JA393302:JA393303 SW393302:SW393303 ACS393302:ACS393303 AMO393302:AMO393303 AWK393302:AWK393303 BGG393302:BGG393303 BQC393302:BQC393303 BZY393302:BZY393303 CJU393302:CJU393303 CTQ393302:CTQ393303 DDM393302:DDM393303 DNI393302:DNI393303 DXE393302:DXE393303 EHA393302:EHA393303 EQW393302:EQW393303 FAS393302:FAS393303 FKO393302:FKO393303 FUK393302:FUK393303 GEG393302:GEG393303 GOC393302:GOC393303 GXY393302:GXY393303 HHU393302:HHU393303 HRQ393302:HRQ393303 IBM393302:IBM393303 ILI393302:ILI393303 IVE393302:IVE393303 JFA393302:JFA393303 JOW393302:JOW393303 JYS393302:JYS393303 KIO393302:KIO393303 KSK393302:KSK393303 LCG393302:LCG393303 LMC393302:LMC393303 LVY393302:LVY393303 MFU393302:MFU393303 MPQ393302:MPQ393303 MZM393302:MZM393303 NJI393302:NJI393303 NTE393302:NTE393303 ODA393302:ODA393303 OMW393302:OMW393303 OWS393302:OWS393303 PGO393302:PGO393303 PQK393302:PQK393303 QAG393302:QAG393303 QKC393302:QKC393303 QTY393302:QTY393303 RDU393302:RDU393303 RNQ393302:RNQ393303 RXM393302:RXM393303 SHI393302:SHI393303 SRE393302:SRE393303 TBA393302:TBA393303 TKW393302:TKW393303 TUS393302:TUS393303 UEO393302:UEO393303 UOK393302:UOK393303 UYG393302:UYG393303 VIC393302:VIC393303 VRY393302:VRY393303 WBU393302:WBU393303 WLQ393302:WLQ393303 WVM393302:WVM393303 E458838:E458839 JA458838:JA458839 SW458838:SW458839 ACS458838:ACS458839 AMO458838:AMO458839 AWK458838:AWK458839 BGG458838:BGG458839 BQC458838:BQC458839 BZY458838:BZY458839 CJU458838:CJU458839 CTQ458838:CTQ458839 DDM458838:DDM458839 DNI458838:DNI458839 DXE458838:DXE458839 EHA458838:EHA458839 EQW458838:EQW458839 FAS458838:FAS458839 FKO458838:FKO458839 FUK458838:FUK458839 GEG458838:GEG458839 GOC458838:GOC458839 GXY458838:GXY458839 HHU458838:HHU458839 HRQ458838:HRQ458839 IBM458838:IBM458839 ILI458838:ILI458839 IVE458838:IVE458839 JFA458838:JFA458839 JOW458838:JOW458839 JYS458838:JYS458839 KIO458838:KIO458839 KSK458838:KSK458839 LCG458838:LCG458839 LMC458838:LMC458839 LVY458838:LVY458839 MFU458838:MFU458839 MPQ458838:MPQ458839 MZM458838:MZM458839 NJI458838:NJI458839 NTE458838:NTE458839 ODA458838:ODA458839 OMW458838:OMW458839 OWS458838:OWS458839 PGO458838:PGO458839 PQK458838:PQK458839 QAG458838:QAG458839 QKC458838:QKC458839 QTY458838:QTY458839 RDU458838:RDU458839 RNQ458838:RNQ458839 RXM458838:RXM458839 SHI458838:SHI458839 SRE458838:SRE458839 TBA458838:TBA458839 TKW458838:TKW458839 TUS458838:TUS458839 UEO458838:UEO458839 UOK458838:UOK458839 UYG458838:UYG458839 VIC458838:VIC458839 VRY458838:VRY458839 WBU458838:WBU458839 WLQ458838:WLQ458839 WVM458838:WVM458839 E524374:E524375 JA524374:JA524375 SW524374:SW524375 ACS524374:ACS524375 AMO524374:AMO524375 AWK524374:AWK524375 BGG524374:BGG524375 BQC524374:BQC524375 BZY524374:BZY524375 CJU524374:CJU524375 CTQ524374:CTQ524375 DDM524374:DDM524375 DNI524374:DNI524375 DXE524374:DXE524375 EHA524374:EHA524375 EQW524374:EQW524375 FAS524374:FAS524375 FKO524374:FKO524375 FUK524374:FUK524375 GEG524374:GEG524375 GOC524374:GOC524375 GXY524374:GXY524375 HHU524374:HHU524375 HRQ524374:HRQ524375 IBM524374:IBM524375 ILI524374:ILI524375 IVE524374:IVE524375 JFA524374:JFA524375 JOW524374:JOW524375 JYS524374:JYS524375 KIO524374:KIO524375 KSK524374:KSK524375 LCG524374:LCG524375 LMC524374:LMC524375 LVY524374:LVY524375 MFU524374:MFU524375 MPQ524374:MPQ524375 MZM524374:MZM524375 NJI524374:NJI524375 NTE524374:NTE524375 ODA524374:ODA524375 OMW524374:OMW524375 OWS524374:OWS524375 PGO524374:PGO524375 PQK524374:PQK524375 QAG524374:QAG524375 QKC524374:QKC524375 QTY524374:QTY524375 RDU524374:RDU524375 RNQ524374:RNQ524375 RXM524374:RXM524375 SHI524374:SHI524375 SRE524374:SRE524375 TBA524374:TBA524375 TKW524374:TKW524375 TUS524374:TUS524375 UEO524374:UEO524375 UOK524374:UOK524375 UYG524374:UYG524375 VIC524374:VIC524375 VRY524374:VRY524375 WBU524374:WBU524375 WLQ524374:WLQ524375 WVM524374:WVM524375 E589910:E589911 JA589910:JA589911 SW589910:SW589911 ACS589910:ACS589911 AMO589910:AMO589911 AWK589910:AWK589911 BGG589910:BGG589911 BQC589910:BQC589911 BZY589910:BZY589911 CJU589910:CJU589911 CTQ589910:CTQ589911 DDM589910:DDM589911 DNI589910:DNI589911 DXE589910:DXE589911 EHA589910:EHA589911 EQW589910:EQW589911 FAS589910:FAS589911 FKO589910:FKO589911 FUK589910:FUK589911 GEG589910:GEG589911 GOC589910:GOC589911 GXY589910:GXY589911 HHU589910:HHU589911 HRQ589910:HRQ589911 IBM589910:IBM589911 ILI589910:ILI589911 IVE589910:IVE589911 JFA589910:JFA589911 JOW589910:JOW589911 JYS589910:JYS589911 KIO589910:KIO589911 KSK589910:KSK589911 LCG589910:LCG589911 LMC589910:LMC589911 LVY589910:LVY589911 MFU589910:MFU589911 MPQ589910:MPQ589911 MZM589910:MZM589911 NJI589910:NJI589911 NTE589910:NTE589911 ODA589910:ODA589911 OMW589910:OMW589911 OWS589910:OWS589911 PGO589910:PGO589911 PQK589910:PQK589911 QAG589910:QAG589911 QKC589910:QKC589911 QTY589910:QTY589911 RDU589910:RDU589911 RNQ589910:RNQ589911 RXM589910:RXM589911 SHI589910:SHI589911 SRE589910:SRE589911 TBA589910:TBA589911 TKW589910:TKW589911 TUS589910:TUS589911 UEO589910:UEO589911 UOK589910:UOK589911 UYG589910:UYG589911 VIC589910:VIC589911 VRY589910:VRY589911 WBU589910:WBU589911 WLQ589910:WLQ589911 WVM589910:WVM589911 E655446:E655447 JA655446:JA655447 SW655446:SW655447 ACS655446:ACS655447 AMO655446:AMO655447 AWK655446:AWK655447 BGG655446:BGG655447 BQC655446:BQC655447 BZY655446:BZY655447 CJU655446:CJU655447 CTQ655446:CTQ655447 DDM655446:DDM655447 DNI655446:DNI655447 DXE655446:DXE655447 EHA655446:EHA655447 EQW655446:EQW655447 FAS655446:FAS655447 FKO655446:FKO655447 FUK655446:FUK655447 GEG655446:GEG655447 GOC655446:GOC655447 GXY655446:GXY655447 HHU655446:HHU655447 HRQ655446:HRQ655447 IBM655446:IBM655447 ILI655446:ILI655447 IVE655446:IVE655447 JFA655446:JFA655447 JOW655446:JOW655447 JYS655446:JYS655447 KIO655446:KIO655447 KSK655446:KSK655447 LCG655446:LCG655447 LMC655446:LMC655447 LVY655446:LVY655447 MFU655446:MFU655447 MPQ655446:MPQ655447 MZM655446:MZM655447 NJI655446:NJI655447 NTE655446:NTE655447 ODA655446:ODA655447 OMW655446:OMW655447 OWS655446:OWS655447 PGO655446:PGO655447 PQK655446:PQK655447 QAG655446:QAG655447 QKC655446:QKC655447 QTY655446:QTY655447 RDU655446:RDU655447 RNQ655446:RNQ655447 RXM655446:RXM655447 SHI655446:SHI655447 SRE655446:SRE655447 TBA655446:TBA655447 TKW655446:TKW655447 TUS655446:TUS655447 UEO655446:UEO655447 UOK655446:UOK655447 UYG655446:UYG655447 VIC655446:VIC655447 VRY655446:VRY655447 WBU655446:WBU655447 WLQ655446:WLQ655447 WVM655446:WVM655447 E720982:E720983 JA720982:JA720983 SW720982:SW720983 ACS720982:ACS720983 AMO720982:AMO720983 AWK720982:AWK720983 BGG720982:BGG720983 BQC720982:BQC720983 BZY720982:BZY720983 CJU720982:CJU720983 CTQ720982:CTQ720983 DDM720982:DDM720983 DNI720982:DNI720983 DXE720982:DXE720983 EHA720982:EHA720983 EQW720982:EQW720983 FAS720982:FAS720983 FKO720982:FKO720983 FUK720982:FUK720983 GEG720982:GEG720983 GOC720982:GOC720983 GXY720982:GXY720983 HHU720982:HHU720983 HRQ720982:HRQ720983 IBM720982:IBM720983 ILI720982:ILI720983 IVE720982:IVE720983 JFA720982:JFA720983 JOW720982:JOW720983 JYS720982:JYS720983 KIO720982:KIO720983 KSK720982:KSK720983 LCG720982:LCG720983 LMC720982:LMC720983 LVY720982:LVY720983 MFU720982:MFU720983 MPQ720982:MPQ720983 MZM720982:MZM720983 NJI720982:NJI720983 NTE720982:NTE720983 ODA720982:ODA720983 OMW720982:OMW720983 OWS720982:OWS720983 PGO720982:PGO720983 PQK720982:PQK720983 QAG720982:QAG720983 QKC720982:QKC720983 QTY720982:QTY720983 RDU720982:RDU720983 RNQ720982:RNQ720983 RXM720982:RXM720983 SHI720982:SHI720983 SRE720982:SRE720983 TBA720982:TBA720983 TKW720982:TKW720983 TUS720982:TUS720983 UEO720982:UEO720983 UOK720982:UOK720983 UYG720982:UYG720983 VIC720982:VIC720983 VRY720982:VRY720983 WBU720982:WBU720983 WLQ720982:WLQ720983 WVM720982:WVM720983 E786518:E786519 JA786518:JA786519 SW786518:SW786519 ACS786518:ACS786519 AMO786518:AMO786519 AWK786518:AWK786519 BGG786518:BGG786519 BQC786518:BQC786519 BZY786518:BZY786519 CJU786518:CJU786519 CTQ786518:CTQ786519 DDM786518:DDM786519 DNI786518:DNI786519 DXE786518:DXE786519 EHA786518:EHA786519 EQW786518:EQW786519 FAS786518:FAS786519 FKO786518:FKO786519 FUK786518:FUK786519 GEG786518:GEG786519 GOC786518:GOC786519 GXY786518:GXY786519 HHU786518:HHU786519 HRQ786518:HRQ786519 IBM786518:IBM786519 ILI786518:ILI786519 IVE786518:IVE786519 JFA786518:JFA786519 JOW786518:JOW786519 JYS786518:JYS786519 KIO786518:KIO786519 KSK786518:KSK786519 LCG786518:LCG786519 LMC786518:LMC786519 LVY786518:LVY786519 MFU786518:MFU786519 MPQ786518:MPQ786519 MZM786518:MZM786519 NJI786518:NJI786519 NTE786518:NTE786519 ODA786518:ODA786519 OMW786518:OMW786519 OWS786518:OWS786519 PGO786518:PGO786519 PQK786518:PQK786519 QAG786518:QAG786519 QKC786518:QKC786519 QTY786518:QTY786519 RDU786518:RDU786519 RNQ786518:RNQ786519 RXM786518:RXM786519 SHI786518:SHI786519 SRE786518:SRE786519 TBA786518:TBA786519 TKW786518:TKW786519 TUS786518:TUS786519 UEO786518:UEO786519 UOK786518:UOK786519 UYG786518:UYG786519 VIC786518:VIC786519 VRY786518:VRY786519 WBU786518:WBU786519 WLQ786518:WLQ786519 WVM786518:WVM786519 E852054:E852055 JA852054:JA852055 SW852054:SW852055 ACS852054:ACS852055 AMO852054:AMO852055 AWK852054:AWK852055 BGG852054:BGG852055 BQC852054:BQC852055 BZY852054:BZY852055 CJU852054:CJU852055 CTQ852054:CTQ852055 DDM852054:DDM852055 DNI852054:DNI852055 DXE852054:DXE852055 EHA852054:EHA852055 EQW852054:EQW852055 FAS852054:FAS852055 FKO852054:FKO852055 FUK852054:FUK852055 GEG852054:GEG852055 GOC852054:GOC852055 GXY852054:GXY852055 HHU852054:HHU852055 HRQ852054:HRQ852055 IBM852054:IBM852055 ILI852054:ILI852055 IVE852054:IVE852055 JFA852054:JFA852055 JOW852054:JOW852055 JYS852054:JYS852055 KIO852054:KIO852055 KSK852054:KSK852055 LCG852054:LCG852055 LMC852054:LMC852055 LVY852054:LVY852055 MFU852054:MFU852055 MPQ852054:MPQ852055 MZM852054:MZM852055 NJI852054:NJI852055 NTE852054:NTE852055 ODA852054:ODA852055 OMW852054:OMW852055 OWS852054:OWS852055 PGO852054:PGO852055 PQK852054:PQK852055 QAG852054:QAG852055 QKC852054:QKC852055 QTY852054:QTY852055 RDU852054:RDU852055 RNQ852054:RNQ852055 RXM852054:RXM852055 SHI852054:SHI852055 SRE852054:SRE852055 TBA852054:TBA852055 TKW852054:TKW852055 TUS852054:TUS852055 UEO852054:UEO852055 UOK852054:UOK852055 UYG852054:UYG852055 VIC852054:VIC852055 VRY852054:VRY852055 WBU852054:WBU852055 WLQ852054:WLQ852055 WVM852054:WVM852055 E917590:E917591 JA917590:JA917591 SW917590:SW917591 ACS917590:ACS917591 AMO917590:AMO917591 AWK917590:AWK917591 BGG917590:BGG917591 BQC917590:BQC917591 BZY917590:BZY917591 CJU917590:CJU917591 CTQ917590:CTQ917591 DDM917590:DDM917591 DNI917590:DNI917591 DXE917590:DXE917591 EHA917590:EHA917591 EQW917590:EQW917591 FAS917590:FAS917591 FKO917590:FKO917591 FUK917590:FUK917591 GEG917590:GEG917591 GOC917590:GOC917591 GXY917590:GXY917591 HHU917590:HHU917591 HRQ917590:HRQ917591 IBM917590:IBM917591 ILI917590:ILI917591 IVE917590:IVE917591 JFA917590:JFA917591 JOW917590:JOW917591 JYS917590:JYS917591 KIO917590:KIO917591 KSK917590:KSK917591 LCG917590:LCG917591 LMC917590:LMC917591 LVY917590:LVY917591 MFU917590:MFU917591 MPQ917590:MPQ917591 MZM917590:MZM917591 NJI917590:NJI917591 NTE917590:NTE917591 ODA917590:ODA917591 OMW917590:OMW917591 OWS917590:OWS917591 PGO917590:PGO917591 PQK917590:PQK917591 QAG917590:QAG917591 QKC917590:QKC917591 QTY917590:QTY917591 RDU917590:RDU917591 RNQ917590:RNQ917591 RXM917590:RXM917591 SHI917590:SHI917591 SRE917590:SRE917591 TBA917590:TBA917591 TKW917590:TKW917591 TUS917590:TUS917591 UEO917590:UEO917591 UOK917590:UOK917591 UYG917590:UYG917591 VIC917590:VIC917591 VRY917590:VRY917591 WBU917590:WBU917591 WLQ917590:WLQ917591 WVM917590:WVM917591 E983126:E983127 JA983126:JA983127 SW983126:SW983127 ACS983126:ACS983127 AMO983126:AMO983127 AWK983126:AWK983127 BGG983126:BGG983127 BQC983126:BQC983127 BZY983126:BZY983127 CJU983126:CJU983127 CTQ983126:CTQ983127 DDM983126:DDM983127 DNI983126:DNI983127 DXE983126:DXE983127 EHA983126:EHA983127 EQW983126:EQW983127 FAS983126:FAS983127 FKO983126:FKO983127 FUK983126:FUK983127 GEG983126:GEG983127 GOC983126:GOC983127 GXY983126:GXY983127 HHU983126:HHU983127 HRQ983126:HRQ983127 IBM983126:IBM983127 ILI983126:ILI983127 IVE983126:IVE983127 JFA983126:JFA983127 JOW983126:JOW983127 JYS983126:JYS983127 KIO983126:KIO983127 KSK983126:KSK983127 LCG983126:LCG983127 LMC983126:LMC983127 LVY983126:LVY983127 MFU983126:MFU983127 MPQ983126:MPQ983127 MZM983126:MZM983127 NJI983126:NJI983127 NTE983126:NTE983127 ODA983126:ODA983127 OMW983126:OMW983127 OWS983126:OWS983127 PGO983126:PGO983127 PQK983126:PQK983127 QAG983126:QAG983127 QKC983126:QKC983127 QTY983126:QTY983127 RDU983126:RDU983127 RNQ983126:RNQ983127 RXM983126:RXM983127 SHI983126:SHI983127 SRE983126:SRE983127 TBA983126:TBA983127 TKW983126:TKW983127 TUS983126:TUS983127 UEO983126:UEO983127 UOK983126:UOK983127 UYG983126:UYG983127 VIC983126:VIC983127 VRY983126:VRY983127 WBU983126:WBU983127 WLQ983126:WLQ983127 WVM983126:WVM983127 G306:N306 JC306:JJ306 SY306:TF306 ACU306:ADB306 AMQ306:AMX306 AWM306:AWT306 BGI306:BGP306 BQE306:BQL306 CAA306:CAH306 CJW306:CKD306 CTS306:CTZ306 DDO306:DDV306 DNK306:DNR306 DXG306:DXN306 EHC306:EHJ306 EQY306:ERF306 FAU306:FBB306 FKQ306:FKX306 FUM306:FUT306 GEI306:GEP306 GOE306:GOL306 GYA306:GYH306 HHW306:HID306 HRS306:HRZ306 IBO306:IBV306 ILK306:ILR306 IVG306:IVN306 JFC306:JFJ306 JOY306:JPF306 JYU306:JZB306 KIQ306:KIX306 KSM306:KST306 LCI306:LCP306 LME306:LML306 LWA306:LWH306 MFW306:MGD306 MPS306:MPZ306 MZO306:MZV306 NJK306:NJR306 NTG306:NTN306 ODC306:ODJ306 OMY306:ONF306 OWU306:OXB306 PGQ306:PGX306 PQM306:PQT306 QAI306:QAP306 QKE306:QKL306 QUA306:QUH306 RDW306:RED306 RNS306:RNZ306 RXO306:RXV306 SHK306:SHR306 SRG306:SRN306 TBC306:TBJ306 TKY306:TLF306 TUU306:TVB306 UEQ306:UEX306 UOM306:UOT306 UYI306:UYP306 VIE306:VIL306 VSA306:VSH306 WBW306:WCD306 WLS306:WLZ306 WVO306:WVV306 G65842:N65842 JC65842:JJ65842 SY65842:TF65842 ACU65842:ADB65842 AMQ65842:AMX65842 AWM65842:AWT65842 BGI65842:BGP65842 BQE65842:BQL65842 CAA65842:CAH65842 CJW65842:CKD65842 CTS65842:CTZ65842 DDO65842:DDV65842 DNK65842:DNR65842 DXG65842:DXN65842 EHC65842:EHJ65842 EQY65842:ERF65842 FAU65842:FBB65842 FKQ65842:FKX65842 FUM65842:FUT65842 GEI65842:GEP65842 GOE65842:GOL65842 GYA65842:GYH65842 HHW65842:HID65842 HRS65842:HRZ65842 IBO65842:IBV65842 ILK65842:ILR65842 IVG65842:IVN65842 JFC65842:JFJ65842 JOY65842:JPF65842 JYU65842:JZB65842 KIQ65842:KIX65842 KSM65842:KST65842 LCI65842:LCP65842 LME65842:LML65842 LWA65842:LWH65842 MFW65842:MGD65842 MPS65842:MPZ65842 MZO65842:MZV65842 NJK65842:NJR65842 NTG65842:NTN65842 ODC65842:ODJ65842 OMY65842:ONF65842 OWU65842:OXB65842 PGQ65842:PGX65842 PQM65842:PQT65842 QAI65842:QAP65842 QKE65842:QKL65842 QUA65842:QUH65842 RDW65842:RED65842 RNS65842:RNZ65842 RXO65842:RXV65842 SHK65842:SHR65842 SRG65842:SRN65842 TBC65842:TBJ65842 TKY65842:TLF65842 TUU65842:TVB65842 UEQ65842:UEX65842 UOM65842:UOT65842 UYI65842:UYP65842 VIE65842:VIL65842 VSA65842:VSH65842 WBW65842:WCD65842 WLS65842:WLZ65842 WVO65842:WVV65842 G131378:N131378 JC131378:JJ131378 SY131378:TF131378 ACU131378:ADB131378 AMQ131378:AMX131378 AWM131378:AWT131378 BGI131378:BGP131378 BQE131378:BQL131378 CAA131378:CAH131378 CJW131378:CKD131378 CTS131378:CTZ131378 DDO131378:DDV131378 DNK131378:DNR131378 DXG131378:DXN131378 EHC131378:EHJ131378 EQY131378:ERF131378 FAU131378:FBB131378 FKQ131378:FKX131378 FUM131378:FUT131378 GEI131378:GEP131378 GOE131378:GOL131378 GYA131378:GYH131378 HHW131378:HID131378 HRS131378:HRZ131378 IBO131378:IBV131378 ILK131378:ILR131378 IVG131378:IVN131378 JFC131378:JFJ131378 JOY131378:JPF131378 JYU131378:JZB131378 KIQ131378:KIX131378 KSM131378:KST131378 LCI131378:LCP131378 LME131378:LML131378 LWA131378:LWH131378 MFW131378:MGD131378 MPS131378:MPZ131378 MZO131378:MZV131378 NJK131378:NJR131378 NTG131378:NTN131378 ODC131378:ODJ131378 OMY131378:ONF131378 OWU131378:OXB131378 PGQ131378:PGX131378 PQM131378:PQT131378 QAI131378:QAP131378 QKE131378:QKL131378 QUA131378:QUH131378 RDW131378:RED131378 RNS131378:RNZ131378 RXO131378:RXV131378 SHK131378:SHR131378 SRG131378:SRN131378 TBC131378:TBJ131378 TKY131378:TLF131378 TUU131378:TVB131378 UEQ131378:UEX131378 UOM131378:UOT131378 UYI131378:UYP131378 VIE131378:VIL131378 VSA131378:VSH131378 WBW131378:WCD131378 WLS131378:WLZ131378 WVO131378:WVV131378 G196914:N196914 JC196914:JJ196914 SY196914:TF196914 ACU196914:ADB196914 AMQ196914:AMX196914 AWM196914:AWT196914 BGI196914:BGP196914 BQE196914:BQL196914 CAA196914:CAH196914 CJW196914:CKD196914 CTS196914:CTZ196914 DDO196914:DDV196914 DNK196914:DNR196914 DXG196914:DXN196914 EHC196914:EHJ196914 EQY196914:ERF196914 FAU196914:FBB196914 FKQ196914:FKX196914 FUM196914:FUT196914 GEI196914:GEP196914 GOE196914:GOL196914 GYA196914:GYH196914 HHW196914:HID196914 HRS196914:HRZ196914 IBO196914:IBV196914 ILK196914:ILR196914 IVG196914:IVN196914 JFC196914:JFJ196914 JOY196914:JPF196914 JYU196914:JZB196914 KIQ196914:KIX196914 KSM196914:KST196914 LCI196914:LCP196914 LME196914:LML196914 LWA196914:LWH196914 MFW196914:MGD196914 MPS196914:MPZ196914 MZO196914:MZV196914 NJK196914:NJR196914 NTG196914:NTN196914 ODC196914:ODJ196914 OMY196914:ONF196914 OWU196914:OXB196914 PGQ196914:PGX196914 PQM196914:PQT196914 QAI196914:QAP196914 QKE196914:QKL196914 QUA196914:QUH196914 RDW196914:RED196914 RNS196914:RNZ196914 RXO196914:RXV196914 SHK196914:SHR196914 SRG196914:SRN196914 TBC196914:TBJ196914 TKY196914:TLF196914 TUU196914:TVB196914 UEQ196914:UEX196914 UOM196914:UOT196914 UYI196914:UYP196914 VIE196914:VIL196914 VSA196914:VSH196914 WBW196914:WCD196914 WLS196914:WLZ196914 WVO196914:WVV196914 G262450:N262450 JC262450:JJ262450 SY262450:TF262450 ACU262450:ADB262450 AMQ262450:AMX262450 AWM262450:AWT262450 BGI262450:BGP262450 BQE262450:BQL262450 CAA262450:CAH262450 CJW262450:CKD262450 CTS262450:CTZ262450 DDO262450:DDV262450 DNK262450:DNR262450 DXG262450:DXN262450 EHC262450:EHJ262450 EQY262450:ERF262450 FAU262450:FBB262450 FKQ262450:FKX262450 FUM262450:FUT262450 GEI262450:GEP262450 GOE262450:GOL262450 GYA262450:GYH262450 HHW262450:HID262450 HRS262450:HRZ262450 IBO262450:IBV262450 ILK262450:ILR262450 IVG262450:IVN262450 JFC262450:JFJ262450 JOY262450:JPF262450 JYU262450:JZB262450 KIQ262450:KIX262450 KSM262450:KST262450 LCI262450:LCP262450 LME262450:LML262450 LWA262450:LWH262450 MFW262450:MGD262450 MPS262450:MPZ262450 MZO262450:MZV262450 NJK262450:NJR262450 NTG262450:NTN262450 ODC262450:ODJ262450 OMY262450:ONF262450 OWU262450:OXB262450 PGQ262450:PGX262450 PQM262450:PQT262450 QAI262450:QAP262450 QKE262450:QKL262450 QUA262450:QUH262450 RDW262450:RED262450 RNS262450:RNZ262450 RXO262450:RXV262450 SHK262450:SHR262450 SRG262450:SRN262450 TBC262450:TBJ262450 TKY262450:TLF262450 TUU262450:TVB262450 UEQ262450:UEX262450 UOM262450:UOT262450 UYI262450:UYP262450 VIE262450:VIL262450 VSA262450:VSH262450 WBW262450:WCD262450 WLS262450:WLZ262450 WVO262450:WVV262450 G327986:N327986 JC327986:JJ327986 SY327986:TF327986 ACU327986:ADB327986 AMQ327986:AMX327986 AWM327986:AWT327986 BGI327986:BGP327986 BQE327986:BQL327986 CAA327986:CAH327986 CJW327986:CKD327986 CTS327986:CTZ327986 DDO327986:DDV327986 DNK327986:DNR327986 DXG327986:DXN327986 EHC327986:EHJ327986 EQY327986:ERF327986 FAU327986:FBB327986 FKQ327986:FKX327986 FUM327986:FUT327986 GEI327986:GEP327986 GOE327986:GOL327986 GYA327986:GYH327986 HHW327986:HID327986 HRS327986:HRZ327986 IBO327986:IBV327986 ILK327986:ILR327986 IVG327986:IVN327986 JFC327986:JFJ327986 JOY327986:JPF327986 JYU327986:JZB327986 KIQ327986:KIX327986 KSM327986:KST327986 LCI327986:LCP327986 LME327986:LML327986 LWA327986:LWH327986 MFW327986:MGD327986 MPS327986:MPZ327986 MZO327986:MZV327986 NJK327986:NJR327986 NTG327986:NTN327986 ODC327986:ODJ327986 OMY327986:ONF327986 OWU327986:OXB327986 PGQ327986:PGX327986 PQM327986:PQT327986 QAI327986:QAP327986 QKE327986:QKL327986 QUA327986:QUH327986 RDW327986:RED327986 RNS327986:RNZ327986 RXO327986:RXV327986 SHK327986:SHR327986 SRG327986:SRN327986 TBC327986:TBJ327986 TKY327986:TLF327986 TUU327986:TVB327986 UEQ327986:UEX327986 UOM327986:UOT327986 UYI327986:UYP327986 VIE327986:VIL327986 VSA327986:VSH327986 WBW327986:WCD327986 WLS327986:WLZ327986 WVO327986:WVV327986 G393522:N393522 JC393522:JJ393522 SY393522:TF393522 ACU393522:ADB393522 AMQ393522:AMX393522 AWM393522:AWT393522 BGI393522:BGP393522 BQE393522:BQL393522 CAA393522:CAH393522 CJW393522:CKD393522 CTS393522:CTZ393522 DDO393522:DDV393522 DNK393522:DNR393522 DXG393522:DXN393522 EHC393522:EHJ393522 EQY393522:ERF393522 FAU393522:FBB393522 FKQ393522:FKX393522 FUM393522:FUT393522 GEI393522:GEP393522 GOE393522:GOL393522 GYA393522:GYH393522 HHW393522:HID393522 HRS393522:HRZ393522 IBO393522:IBV393522 ILK393522:ILR393522 IVG393522:IVN393522 JFC393522:JFJ393522 JOY393522:JPF393522 JYU393522:JZB393522 KIQ393522:KIX393522 KSM393522:KST393522 LCI393522:LCP393522 LME393522:LML393522 LWA393522:LWH393522 MFW393522:MGD393522 MPS393522:MPZ393522 MZO393522:MZV393522 NJK393522:NJR393522 NTG393522:NTN393522 ODC393522:ODJ393522 OMY393522:ONF393522 OWU393522:OXB393522 PGQ393522:PGX393522 PQM393522:PQT393522 QAI393522:QAP393522 QKE393522:QKL393522 QUA393522:QUH393522 RDW393522:RED393522 RNS393522:RNZ393522 RXO393522:RXV393522 SHK393522:SHR393522 SRG393522:SRN393522 TBC393522:TBJ393522 TKY393522:TLF393522 TUU393522:TVB393522 UEQ393522:UEX393522 UOM393522:UOT393522 UYI393522:UYP393522 VIE393522:VIL393522 VSA393522:VSH393522 WBW393522:WCD393522 WLS393522:WLZ393522 WVO393522:WVV393522 G459058:N459058 JC459058:JJ459058 SY459058:TF459058 ACU459058:ADB459058 AMQ459058:AMX459058 AWM459058:AWT459058 BGI459058:BGP459058 BQE459058:BQL459058 CAA459058:CAH459058 CJW459058:CKD459058 CTS459058:CTZ459058 DDO459058:DDV459058 DNK459058:DNR459058 DXG459058:DXN459058 EHC459058:EHJ459058 EQY459058:ERF459058 FAU459058:FBB459058 FKQ459058:FKX459058 FUM459058:FUT459058 GEI459058:GEP459058 GOE459058:GOL459058 GYA459058:GYH459058 HHW459058:HID459058 HRS459058:HRZ459058 IBO459058:IBV459058 ILK459058:ILR459058 IVG459058:IVN459058 JFC459058:JFJ459058 JOY459058:JPF459058 JYU459058:JZB459058 KIQ459058:KIX459058 KSM459058:KST459058 LCI459058:LCP459058 LME459058:LML459058 LWA459058:LWH459058 MFW459058:MGD459058 MPS459058:MPZ459058 MZO459058:MZV459058 NJK459058:NJR459058 NTG459058:NTN459058 ODC459058:ODJ459058 OMY459058:ONF459058 OWU459058:OXB459058 PGQ459058:PGX459058 PQM459058:PQT459058 QAI459058:QAP459058 QKE459058:QKL459058 QUA459058:QUH459058 RDW459058:RED459058 RNS459058:RNZ459058 RXO459058:RXV459058 SHK459058:SHR459058 SRG459058:SRN459058 TBC459058:TBJ459058 TKY459058:TLF459058 TUU459058:TVB459058 UEQ459058:UEX459058 UOM459058:UOT459058 UYI459058:UYP459058 VIE459058:VIL459058 VSA459058:VSH459058 WBW459058:WCD459058 WLS459058:WLZ459058 WVO459058:WVV459058 G524594:N524594 JC524594:JJ524594 SY524594:TF524594 ACU524594:ADB524594 AMQ524594:AMX524594 AWM524594:AWT524594 BGI524594:BGP524594 BQE524594:BQL524594 CAA524594:CAH524594 CJW524594:CKD524594 CTS524594:CTZ524594 DDO524594:DDV524594 DNK524594:DNR524594 DXG524594:DXN524594 EHC524594:EHJ524594 EQY524594:ERF524594 FAU524594:FBB524594 FKQ524594:FKX524594 FUM524594:FUT524594 GEI524594:GEP524594 GOE524594:GOL524594 GYA524594:GYH524594 HHW524594:HID524594 HRS524594:HRZ524594 IBO524594:IBV524594 ILK524594:ILR524594 IVG524594:IVN524594 JFC524594:JFJ524594 JOY524594:JPF524594 JYU524594:JZB524594 KIQ524594:KIX524594 KSM524594:KST524594 LCI524594:LCP524594 LME524594:LML524594 LWA524594:LWH524594 MFW524594:MGD524594 MPS524594:MPZ524594 MZO524594:MZV524594 NJK524594:NJR524594 NTG524594:NTN524594 ODC524594:ODJ524594 OMY524594:ONF524594 OWU524594:OXB524594 PGQ524594:PGX524594 PQM524594:PQT524594 QAI524594:QAP524594 QKE524594:QKL524594 QUA524594:QUH524594 RDW524594:RED524594 RNS524594:RNZ524594 RXO524594:RXV524594 SHK524594:SHR524594 SRG524594:SRN524594 TBC524594:TBJ524594 TKY524594:TLF524594 TUU524594:TVB524594 UEQ524594:UEX524594 UOM524594:UOT524594 UYI524594:UYP524594 VIE524594:VIL524594 VSA524594:VSH524594 WBW524594:WCD524594 WLS524594:WLZ524594 WVO524594:WVV524594 G590130:N590130 JC590130:JJ590130 SY590130:TF590130 ACU590130:ADB590130 AMQ590130:AMX590130 AWM590130:AWT590130 BGI590130:BGP590130 BQE590130:BQL590130 CAA590130:CAH590130 CJW590130:CKD590130 CTS590130:CTZ590130 DDO590130:DDV590130 DNK590130:DNR590130 DXG590130:DXN590130 EHC590130:EHJ590130 EQY590130:ERF590130 FAU590130:FBB590130 FKQ590130:FKX590130 FUM590130:FUT590130 GEI590130:GEP590130 GOE590130:GOL590130 GYA590130:GYH590130 HHW590130:HID590130 HRS590130:HRZ590130 IBO590130:IBV590130 ILK590130:ILR590130 IVG590130:IVN590130 JFC590130:JFJ590130 JOY590130:JPF590130 JYU590130:JZB590130 KIQ590130:KIX590130 KSM590130:KST590130 LCI590130:LCP590130 LME590130:LML590130 LWA590130:LWH590130 MFW590130:MGD590130 MPS590130:MPZ590130 MZO590130:MZV590130 NJK590130:NJR590130 NTG590130:NTN590130 ODC590130:ODJ590130 OMY590130:ONF590130 OWU590130:OXB590130 PGQ590130:PGX590130 PQM590130:PQT590130 QAI590130:QAP590130 QKE590130:QKL590130 QUA590130:QUH590130 RDW590130:RED590130 RNS590130:RNZ590130 RXO590130:RXV590130 SHK590130:SHR590130 SRG590130:SRN590130 TBC590130:TBJ590130 TKY590130:TLF590130 TUU590130:TVB590130 UEQ590130:UEX590130 UOM590130:UOT590130 UYI590130:UYP590130 VIE590130:VIL590130 VSA590130:VSH590130 WBW590130:WCD590130 WLS590130:WLZ590130 WVO590130:WVV590130 G655666:N655666 JC655666:JJ655666 SY655666:TF655666 ACU655666:ADB655666 AMQ655666:AMX655666 AWM655666:AWT655666 BGI655666:BGP655666 BQE655666:BQL655666 CAA655666:CAH655666 CJW655666:CKD655666 CTS655666:CTZ655666 DDO655666:DDV655666 DNK655666:DNR655666 DXG655666:DXN655666 EHC655666:EHJ655666 EQY655666:ERF655666 FAU655666:FBB655666 FKQ655666:FKX655666 FUM655666:FUT655666 GEI655666:GEP655666 GOE655666:GOL655666 GYA655666:GYH655666 HHW655666:HID655666 HRS655666:HRZ655666 IBO655666:IBV655666 ILK655666:ILR655666 IVG655666:IVN655666 JFC655666:JFJ655666 JOY655666:JPF655666 JYU655666:JZB655666 KIQ655666:KIX655666 KSM655666:KST655666 LCI655666:LCP655666 LME655666:LML655666 LWA655666:LWH655666 MFW655666:MGD655666 MPS655666:MPZ655666 MZO655666:MZV655666 NJK655666:NJR655666 NTG655666:NTN655666 ODC655666:ODJ655666 OMY655666:ONF655666 OWU655666:OXB655666 PGQ655666:PGX655666 PQM655666:PQT655666 QAI655666:QAP655666 QKE655666:QKL655666 QUA655666:QUH655666 RDW655666:RED655666 RNS655666:RNZ655666 RXO655666:RXV655666 SHK655666:SHR655666 SRG655666:SRN655666 TBC655666:TBJ655666 TKY655666:TLF655666 TUU655666:TVB655666 UEQ655666:UEX655666 UOM655666:UOT655666 UYI655666:UYP655666 VIE655666:VIL655666 VSA655666:VSH655666 WBW655666:WCD655666 WLS655666:WLZ655666 WVO655666:WVV655666 G721202:N721202 JC721202:JJ721202 SY721202:TF721202 ACU721202:ADB721202 AMQ721202:AMX721202 AWM721202:AWT721202 BGI721202:BGP721202 BQE721202:BQL721202 CAA721202:CAH721202 CJW721202:CKD721202 CTS721202:CTZ721202 DDO721202:DDV721202 DNK721202:DNR721202 DXG721202:DXN721202 EHC721202:EHJ721202 EQY721202:ERF721202 FAU721202:FBB721202 FKQ721202:FKX721202 FUM721202:FUT721202 GEI721202:GEP721202 GOE721202:GOL721202 GYA721202:GYH721202 HHW721202:HID721202 HRS721202:HRZ721202 IBO721202:IBV721202 ILK721202:ILR721202 IVG721202:IVN721202 JFC721202:JFJ721202 JOY721202:JPF721202 JYU721202:JZB721202 KIQ721202:KIX721202 KSM721202:KST721202 LCI721202:LCP721202 LME721202:LML721202 LWA721202:LWH721202 MFW721202:MGD721202 MPS721202:MPZ721202 MZO721202:MZV721202 NJK721202:NJR721202 NTG721202:NTN721202 ODC721202:ODJ721202 OMY721202:ONF721202 OWU721202:OXB721202 PGQ721202:PGX721202 PQM721202:PQT721202 QAI721202:QAP721202 QKE721202:QKL721202 QUA721202:QUH721202 RDW721202:RED721202 RNS721202:RNZ721202 RXO721202:RXV721202 SHK721202:SHR721202 SRG721202:SRN721202 TBC721202:TBJ721202 TKY721202:TLF721202 TUU721202:TVB721202 UEQ721202:UEX721202 UOM721202:UOT721202 UYI721202:UYP721202 VIE721202:VIL721202 VSA721202:VSH721202 WBW721202:WCD721202 WLS721202:WLZ721202 WVO721202:WVV721202 G786738:N786738 JC786738:JJ786738 SY786738:TF786738 ACU786738:ADB786738 AMQ786738:AMX786738 AWM786738:AWT786738 BGI786738:BGP786738 BQE786738:BQL786738 CAA786738:CAH786738 CJW786738:CKD786738 CTS786738:CTZ786738 DDO786738:DDV786738 DNK786738:DNR786738 DXG786738:DXN786738 EHC786738:EHJ786738 EQY786738:ERF786738 FAU786738:FBB786738 FKQ786738:FKX786738 FUM786738:FUT786738 GEI786738:GEP786738 GOE786738:GOL786738 GYA786738:GYH786738 HHW786738:HID786738 HRS786738:HRZ786738 IBO786738:IBV786738 ILK786738:ILR786738 IVG786738:IVN786738 JFC786738:JFJ786738 JOY786738:JPF786738 JYU786738:JZB786738 KIQ786738:KIX786738 KSM786738:KST786738 LCI786738:LCP786738 LME786738:LML786738 LWA786738:LWH786738 MFW786738:MGD786738 MPS786738:MPZ786738 MZO786738:MZV786738 NJK786738:NJR786738 NTG786738:NTN786738 ODC786738:ODJ786738 OMY786738:ONF786738 OWU786738:OXB786738 PGQ786738:PGX786738 PQM786738:PQT786738 QAI786738:QAP786738 QKE786738:QKL786738 QUA786738:QUH786738 RDW786738:RED786738 RNS786738:RNZ786738 RXO786738:RXV786738 SHK786738:SHR786738 SRG786738:SRN786738 TBC786738:TBJ786738 TKY786738:TLF786738 TUU786738:TVB786738 UEQ786738:UEX786738 UOM786738:UOT786738 UYI786738:UYP786738 VIE786738:VIL786738 VSA786738:VSH786738 WBW786738:WCD786738 WLS786738:WLZ786738 WVO786738:WVV786738 G852274:N852274 JC852274:JJ852274 SY852274:TF852274 ACU852274:ADB852274 AMQ852274:AMX852274 AWM852274:AWT852274 BGI852274:BGP852274 BQE852274:BQL852274 CAA852274:CAH852274 CJW852274:CKD852274 CTS852274:CTZ852274 DDO852274:DDV852274 DNK852274:DNR852274 DXG852274:DXN852274 EHC852274:EHJ852274 EQY852274:ERF852274 FAU852274:FBB852274 FKQ852274:FKX852274 FUM852274:FUT852274 GEI852274:GEP852274 GOE852274:GOL852274 GYA852274:GYH852274 HHW852274:HID852274 HRS852274:HRZ852274 IBO852274:IBV852274 ILK852274:ILR852274 IVG852274:IVN852274 JFC852274:JFJ852274 JOY852274:JPF852274 JYU852274:JZB852274 KIQ852274:KIX852274 KSM852274:KST852274 LCI852274:LCP852274 LME852274:LML852274 LWA852274:LWH852274 MFW852274:MGD852274 MPS852274:MPZ852274 MZO852274:MZV852274 NJK852274:NJR852274 NTG852274:NTN852274 ODC852274:ODJ852274 OMY852274:ONF852274 OWU852274:OXB852274 PGQ852274:PGX852274 PQM852274:PQT852274 QAI852274:QAP852274 QKE852274:QKL852274 QUA852274:QUH852274 RDW852274:RED852274 RNS852274:RNZ852274 RXO852274:RXV852274 SHK852274:SHR852274 SRG852274:SRN852274 TBC852274:TBJ852274 TKY852274:TLF852274 TUU852274:TVB852274 UEQ852274:UEX852274 UOM852274:UOT852274 UYI852274:UYP852274 VIE852274:VIL852274 VSA852274:VSH852274 WBW852274:WCD852274 WLS852274:WLZ852274 WVO852274:WVV852274 G917810:N917810 JC917810:JJ917810 SY917810:TF917810 ACU917810:ADB917810 AMQ917810:AMX917810 AWM917810:AWT917810 BGI917810:BGP917810 BQE917810:BQL917810 CAA917810:CAH917810 CJW917810:CKD917810 CTS917810:CTZ917810 DDO917810:DDV917810 DNK917810:DNR917810 DXG917810:DXN917810 EHC917810:EHJ917810 EQY917810:ERF917810 FAU917810:FBB917810 FKQ917810:FKX917810 FUM917810:FUT917810 GEI917810:GEP917810 GOE917810:GOL917810 GYA917810:GYH917810 HHW917810:HID917810 HRS917810:HRZ917810 IBO917810:IBV917810 ILK917810:ILR917810 IVG917810:IVN917810 JFC917810:JFJ917810 JOY917810:JPF917810 JYU917810:JZB917810 KIQ917810:KIX917810 KSM917810:KST917810 LCI917810:LCP917810 LME917810:LML917810 LWA917810:LWH917810 MFW917810:MGD917810 MPS917810:MPZ917810 MZO917810:MZV917810 NJK917810:NJR917810 NTG917810:NTN917810 ODC917810:ODJ917810 OMY917810:ONF917810 OWU917810:OXB917810 PGQ917810:PGX917810 PQM917810:PQT917810 QAI917810:QAP917810 QKE917810:QKL917810 QUA917810:QUH917810 RDW917810:RED917810 RNS917810:RNZ917810 RXO917810:RXV917810 SHK917810:SHR917810 SRG917810:SRN917810 TBC917810:TBJ917810 TKY917810:TLF917810 TUU917810:TVB917810 UEQ917810:UEX917810 UOM917810:UOT917810 UYI917810:UYP917810 VIE917810:VIL917810 VSA917810:VSH917810 WBW917810:WCD917810 WLS917810:WLZ917810 WVO917810:WVV917810 G983346:N983346 JC983346:JJ983346 SY983346:TF983346 ACU983346:ADB983346 AMQ983346:AMX983346 AWM983346:AWT983346 BGI983346:BGP983346 BQE983346:BQL983346 CAA983346:CAH983346 CJW983346:CKD983346 CTS983346:CTZ983346 DDO983346:DDV983346 DNK983346:DNR983346 DXG983346:DXN983346 EHC983346:EHJ983346 EQY983346:ERF983346 FAU983346:FBB983346 FKQ983346:FKX983346 FUM983346:FUT983346 GEI983346:GEP983346 GOE983346:GOL983346 GYA983346:GYH983346 HHW983346:HID983346 HRS983346:HRZ983346 IBO983346:IBV983346 ILK983346:ILR983346 IVG983346:IVN983346 JFC983346:JFJ983346 JOY983346:JPF983346 JYU983346:JZB983346 KIQ983346:KIX983346 KSM983346:KST983346 LCI983346:LCP983346 LME983346:LML983346 LWA983346:LWH983346 MFW983346:MGD983346 MPS983346:MPZ983346 MZO983346:MZV983346 NJK983346:NJR983346 NTG983346:NTN983346 ODC983346:ODJ983346 OMY983346:ONF983346 OWU983346:OXB983346 PGQ983346:PGX983346 PQM983346:PQT983346 QAI983346:QAP983346 QKE983346:QKL983346 QUA983346:QUH983346 RDW983346:RED983346 RNS983346:RNZ983346 RXO983346:RXV983346 SHK983346:SHR983346 SRG983346:SRN983346 TBC983346:TBJ983346 TKY983346:TLF983346 TUU983346:TVB983346 UEQ983346:UEX983346 UOM983346:UOT983346 UYI983346:UYP983346 VIE983346:VIL983346 VSA983346:VSH983346 WBW983346:WCD983346 WLS983346:WLZ983346 WVO983346:WVV983346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0:N90 JC90:JJ90 SY90:TF90 ACU90:ADB90 AMQ90:AMX90 AWM90:AWT90 BGI90:BGP90 BQE90:BQL90 CAA90:CAH90 CJW90:CKD90 CTS90:CTZ90 DDO90:DDV90 DNK90:DNR90 DXG90:DXN90 EHC90:EHJ90 EQY90:ERF90 FAU90:FBB90 FKQ90:FKX90 FUM90:FUT90 GEI90:GEP90 GOE90:GOL90 GYA90:GYH90 HHW90:HID90 HRS90:HRZ90 IBO90:IBV90 ILK90:ILR90 IVG90:IVN90 JFC90:JFJ90 JOY90:JPF90 JYU90:JZB90 KIQ90:KIX90 KSM90:KST90 LCI90:LCP90 LME90:LML90 LWA90:LWH90 MFW90:MGD90 MPS90:MPZ90 MZO90:MZV90 NJK90:NJR90 NTG90:NTN90 ODC90:ODJ90 OMY90:ONF90 OWU90:OXB90 PGQ90:PGX90 PQM90:PQT90 QAI90:QAP90 QKE90:QKL90 QUA90:QUH90 RDW90:RED90 RNS90:RNZ90 RXO90:RXV90 SHK90:SHR90 SRG90:SRN90 TBC90:TBJ90 TKY90:TLF90 TUU90:TVB90 UEQ90:UEX90 UOM90:UOT90 UYI90:UYP90 VIE90:VIL90 VSA90:VSH90 WBW90:WCD90 WLS90:WLZ90 WVO90:WVV90 G65626:N65626 JC65626:JJ65626 SY65626:TF65626 ACU65626:ADB65626 AMQ65626:AMX65626 AWM65626:AWT65626 BGI65626:BGP65626 BQE65626:BQL65626 CAA65626:CAH65626 CJW65626:CKD65626 CTS65626:CTZ65626 DDO65626:DDV65626 DNK65626:DNR65626 DXG65626:DXN65626 EHC65626:EHJ65626 EQY65626:ERF65626 FAU65626:FBB65626 FKQ65626:FKX65626 FUM65626:FUT65626 GEI65626:GEP65626 GOE65626:GOL65626 GYA65626:GYH65626 HHW65626:HID65626 HRS65626:HRZ65626 IBO65626:IBV65626 ILK65626:ILR65626 IVG65626:IVN65626 JFC65626:JFJ65626 JOY65626:JPF65626 JYU65626:JZB65626 KIQ65626:KIX65626 KSM65626:KST65626 LCI65626:LCP65626 LME65626:LML65626 LWA65626:LWH65626 MFW65626:MGD65626 MPS65626:MPZ65626 MZO65626:MZV65626 NJK65626:NJR65626 NTG65626:NTN65626 ODC65626:ODJ65626 OMY65626:ONF65626 OWU65626:OXB65626 PGQ65626:PGX65626 PQM65626:PQT65626 QAI65626:QAP65626 QKE65626:QKL65626 QUA65626:QUH65626 RDW65626:RED65626 RNS65626:RNZ65626 RXO65626:RXV65626 SHK65626:SHR65626 SRG65626:SRN65626 TBC65626:TBJ65626 TKY65626:TLF65626 TUU65626:TVB65626 UEQ65626:UEX65626 UOM65626:UOT65626 UYI65626:UYP65626 VIE65626:VIL65626 VSA65626:VSH65626 WBW65626:WCD65626 WLS65626:WLZ65626 WVO65626:WVV65626 G131162:N131162 JC131162:JJ131162 SY131162:TF131162 ACU131162:ADB131162 AMQ131162:AMX131162 AWM131162:AWT131162 BGI131162:BGP131162 BQE131162:BQL131162 CAA131162:CAH131162 CJW131162:CKD131162 CTS131162:CTZ131162 DDO131162:DDV131162 DNK131162:DNR131162 DXG131162:DXN131162 EHC131162:EHJ131162 EQY131162:ERF131162 FAU131162:FBB131162 FKQ131162:FKX131162 FUM131162:FUT131162 GEI131162:GEP131162 GOE131162:GOL131162 GYA131162:GYH131162 HHW131162:HID131162 HRS131162:HRZ131162 IBO131162:IBV131162 ILK131162:ILR131162 IVG131162:IVN131162 JFC131162:JFJ131162 JOY131162:JPF131162 JYU131162:JZB131162 KIQ131162:KIX131162 KSM131162:KST131162 LCI131162:LCP131162 LME131162:LML131162 LWA131162:LWH131162 MFW131162:MGD131162 MPS131162:MPZ131162 MZO131162:MZV131162 NJK131162:NJR131162 NTG131162:NTN131162 ODC131162:ODJ131162 OMY131162:ONF131162 OWU131162:OXB131162 PGQ131162:PGX131162 PQM131162:PQT131162 QAI131162:QAP131162 QKE131162:QKL131162 QUA131162:QUH131162 RDW131162:RED131162 RNS131162:RNZ131162 RXO131162:RXV131162 SHK131162:SHR131162 SRG131162:SRN131162 TBC131162:TBJ131162 TKY131162:TLF131162 TUU131162:TVB131162 UEQ131162:UEX131162 UOM131162:UOT131162 UYI131162:UYP131162 VIE131162:VIL131162 VSA131162:VSH131162 WBW131162:WCD131162 WLS131162:WLZ131162 WVO131162:WVV131162 G196698:N196698 JC196698:JJ196698 SY196698:TF196698 ACU196698:ADB196698 AMQ196698:AMX196698 AWM196698:AWT196698 BGI196698:BGP196698 BQE196698:BQL196698 CAA196698:CAH196698 CJW196698:CKD196698 CTS196698:CTZ196698 DDO196698:DDV196698 DNK196698:DNR196698 DXG196698:DXN196698 EHC196698:EHJ196698 EQY196698:ERF196698 FAU196698:FBB196698 FKQ196698:FKX196698 FUM196698:FUT196698 GEI196698:GEP196698 GOE196698:GOL196698 GYA196698:GYH196698 HHW196698:HID196698 HRS196698:HRZ196698 IBO196698:IBV196698 ILK196698:ILR196698 IVG196698:IVN196698 JFC196698:JFJ196698 JOY196698:JPF196698 JYU196698:JZB196698 KIQ196698:KIX196698 KSM196698:KST196698 LCI196698:LCP196698 LME196698:LML196698 LWA196698:LWH196698 MFW196698:MGD196698 MPS196698:MPZ196698 MZO196698:MZV196698 NJK196698:NJR196698 NTG196698:NTN196698 ODC196698:ODJ196698 OMY196698:ONF196698 OWU196698:OXB196698 PGQ196698:PGX196698 PQM196698:PQT196698 QAI196698:QAP196698 QKE196698:QKL196698 QUA196698:QUH196698 RDW196698:RED196698 RNS196698:RNZ196698 RXO196698:RXV196698 SHK196698:SHR196698 SRG196698:SRN196698 TBC196698:TBJ196698 TKY196698:TLF196698 TUU196698:TVB196698 UEQ196698:UEX196698 UOM196698:UOT196698 UYI196698:UYP196698 VIE196698:VIL196698 VSA196698:VSH196698 WBW196698:WCD196698 WLS196698:WLZ196698 WVO196698:WVV196698 G262234:N262234 JC262234:JJ262234 SY262234:TF262234 ACU262234:ADB262234 AMQ262234:AMX262234 AWM262234:AWT262234 BGI262234:BGP262234 BQE262234:BQL262234 CAA262234:CAH262234 CJW262234:CKD262234 CTS262234:CTZ262234 DDO262234:DDV262234 DNK262234:DNR262234 DXG262234:DXN262234 EHC262234:EHJ262234 EQY262234:ERF262234 FAU262234:FBB262234 FKQ262234:FKX262234 FUM262234:FUT262234 GEI262234:GEP262234 GOE262234:GOL262234 GYA262234:GYH262234 HHW262234:HID262234 HRS262234:HRZ262234 IBO262234:IBV262234 ILK262234:ILR262234 IVG262234:IVN262234 JFC262234:JFJ262234 JOY262234:JPF262234 JYU262234:JZB262234 KIQ262234:KIX262234 KSM262234:KST262234 LCI262234:LCP262234 LME262234:LML262234 LWA262234:LWH262234 MFW262234:MGD262234 MPS262234:MPZ262234 MZO262234:MZV262234 NJK262234:NJR262234 NTG262234:NTN262234 ODC262234:ODJ262234 OMY262234:ONF262234 OWU262234:OXB262234 PGQ262234:PGX262234 PQM262234:PQT262234 QAI262234:QAP262234 QKE262234:QKL262234 QUA262234:QUH262234 RDW262234:RED262234 RNS262234:RNZ262234 RXO262234:RXV262234 SHK262234:SHR262234 SRG262234:SRN262234 TBC262234:TBJ262234 TKY262234:TLF262234 TUU262234:TVB262234 UEQ262234:UEX262234 UOM262234:UOT262234 UYI262234:UYP262234 VIE262234:VIL262234 VSA262234:VSH262234 WBW262234:WCD262234 WLS262234:WLZ262234 WVO262234:WVV262234 G327770:N327770 JC327770:JJ327770 SY327770:TF327770 ACU327770:ADB327770 AMQ327770:AMX327770 AWM327770:AWT327770 BGI327770:BGP327770 BQE327770:BQL327770 CAA327770:CAH327770 CJW327770:CKD327770 CTS327770:CTZ327770 DDO327770:DDV327770 DNK327770:DNR327770 DXG327770:DXN327770 EHC327770:EHJ327770 EQY327770:ERF327770 FAU327770:FBB327770 FKQ327770:FKX327770 FUM327770:FUT327770 GEI327770:GEP327770 GOE327770:GOL327770 GYA327770:GYH327770 HHW327770:HID327770 HRS327770:HRZ327770 IBO327770:IBV327770 ILK327770:ILR327770 IVG327770:IVN327770 JFC327770:JFJ327770 JOY327770:JPF327770 JYU327770:JZB327770 KIQ327770:KIX327770 KSM327770:KST327770 LCI327770:LCP327770 LME327770:LML327770 LWA327770:LWH327770 MFW327770:MGD327770 MPS327770:MPZ327770 MZO327770:MZV327770 NJK327770:NJR327770 NTG327770:NTN327770 ODC327770:ODJ327770 OMY327770:ONF327770 OWU327770:OXB327770 PGQ327770:PGX327770 PQM327770:PQT327770 QAI327770:QAP327770 QKE327770:QKL327770 QUA327770:QUH327770 RDW327770:RED327770 RNS327770:RNZ327770 RXO327770:RXV327770 SHK327770:SHR327770 SRG327770:SRN327770 TBC327770:TBJ327770 TKY327770:TLF327770 TUU327770:TVB327770 UEQ327770:UEX327770 UOM327770:UOT327770 UYI327770:UYP327770 VIE327770:VIL327770 VSA327770:VSH327770 WBW327770:WCD327770 WLS327770:WLZ327770 WVO327770:WVV327770 G393306:N393306 JC393306:JJ393306 SY393306:TF393306 ACU393306:ADB393306 AMQ393306:AMX393306 AWM393306:AWT393306 BGI393306:BGP393306 BQE393306:BQL393306 CAA393306:CAH393306 CJW393306:CKD393306 CTS393306:CTZ393306 DDO393306:DDV393306 DNK393306:DNR393306 DXG393306:DXN393306 EHC393306:EHJ393306 EQY393306:ERF393306 FAU393306:FBB393306 FKQ393306:FKX393306 FUM393306:FUT393306 GEI393306:GEP393306 GOE393306:GOL393306 GYA393306:GYH393306 HHW393306:HID393306 HRS393306:HRZ393306 IBO393306:IBV393306 ILK393306:ILR393306 IVG393306:IVN393306 JFC393306:JFJ393306 JOY393306:JPF393306 JYU393306:JZB393306 KIQ393306:KIX393306 KSM393306:KST393306 LCI393306:LCP393306 LME393306:LML393306 LWA393306:LWH393306 MFW393306:MGD393306 MPS393306:MPZ393306 MZO393306:MZV393306 NJK393306:NJR393306 NTG393306:NTN393306 ODC393306:ODJ393306 OMY393306:ONF393306 OWU393306:OXB393306 PGQ393306:PGX393306 PQM393306:PQT393306 QAI393306:QAP393306 QKE393306:QKL393306 QUA393306:QUH393306 RDW393306:RED393306 RNS393306:RNZ393306 RXO393306:RXV393306 SHK393306:SHR393306 SRG393306:SRN393306 TBC393306:TBJ393306 TKY393306:TLF393306 TUU393306:TVB393306 UEQ393306:UEX393306 UOM393306:UOT393306 UYI393306:UYP393306 VIE393306:VIL393306 VSA393306:VSH393306 WBW393306:WCD393306 WLS393306:WLZ393306 WVO393306:WVV393306 G458842:N458842 JC458842:JJ458842 SY458842:TF458842 ACU458842:ADB458842 AMQ458842:AMX458842 AWM458842:AWT458842 BGI458842:BGP458842 BQE458842:BQL458842 CAA458842:CAH458842 CJW458842:CKD458842 CTS458842:CTZ458842 DDO458842:DDV458842 DNK458842:DNR458842 DXG458842:DXN458842 EHC458842:EHJ458842 EQY458842:ERF458842 FAU458842:FBB458842 FKQ458842:FKX458842 FUM458842:FUT458842 GEI458842:GEP458842 GOE458842:GOL458842 GYA458842:GYH458842 HHW458842:HID458842 HRS458842:HRZ458842 IBO458842:IBV458842 ILK458842:ILR458842 IVG458842:IVN458842 JFC458842:JFJ458842 JOY458842:JPF458842 JYU458842:JZB458842 KIQ458842:KIX458842 KSM458842:KST458842 LCI458842:LCP458842 LME458842:LML458842 LWA458842:LWH458842 MFW458842:MGD458842 MPS458842:MPZ458842 MZO458842:MZV458842 NJK458842:NJR458842 NTG458842:NTN458842 ODC458842:ODJ458842 OMY458842:ONF458842 OWU458842:OXB458842 PGQ458842:PGX458842 PQM458842:PQT458842 QAI458842:QAP458842 QKE458842:QKL458842 QUA458842:QUH458842 RDW458842:RED458842 RNS458842:RNZ458842 RXO458842:RXV458842 SHK458842:SHR458842 SRG458842:SRN458842 TBC458842:TBJ458842 TKY458842:TLF458842 TUU458842:TVB458842 UEQ458842:UEX458842 UOM458842:UOT458842 UYI458842:UYP458842 VIE458842:VIL458842 VSA458842:VSH458842 WBW458842:WCD458842 WLS458842:WLZ458842 WVO458842:WVV458842 G524378:N524378 JC524378:JJ524378 SY524378:TF524378 ACU524378:ADB524378 AMQ524378:AMX524378 AWM524378:AWT524378 BGI524378:BGP524378 BQE524378:BQL524378 CAA524378:CAH524378 CJW524378:CKD524378 CTS524378:CTZ524378 DDO524378:DDV524378 DNK524378:DNR524378 DXG524378:DXN524378 EHC524378:EHJ524378 EQY524378:ERF524378 FAU524378:FBB524378 FKQ524378:FKX524378 FUM524378:FUT524378 GEI524378:GEP524378 GOE524378:GOL524378 GYA524378:GYH524378 HHW524378:HID524378 HRS524378:HRZ524378 IBO524378:IBV524378 ILK524378:ILR524378 IVG524378:IVN524378 JFC524378:JFJ524378 JOY524378:JPF524378 JYU524378:JZB524378 KIQ524378:KIX524378 KSM524378:KST524378 LCI524378:LCP524378 LME524378:LML524378 LWA524378:LWH524378 MFW524378:MGD524378 MPS524378:MPZ524378 MZO524378:MZV524378 NJK524378:NJR524378 NTG524378:NTN524378 ODC524378:ODJ524378 OMY524378:ONF524378 OWU524378:OXB524378 PGQ524378:PGX524378 PQM524378:PQT524378 QAI524378:QAP524378 QKE524378:QKL524378 QUA524378:QUH524378 RDW524378:RED524378 RNS524378:RNZ524378 RXO524378:RXV524378 SHK524378:SHR524378 SRG524378:SRN524378 TBC524378:TBJ524378 TKY524378:TLF524378 TUU524378:TVB524378 UEQ524378:UEX524378 UOM524378:UOT524378 UYI524378:UYP524378 VIE524378:VIL524378 VSA524378:VSH524378 WBW524378:WCD524378 WLS524378:WLZ524378 WVO524378:WVV524378 G589914:N589914 JC589914:JJ589914 SY589914:TF589914 ACU589914:ADB589914 AMQ589914:AMX589914 AWM589914:AWT589914 BGI589914:BGP589914 BQE589914:BQL589914 CAA589914:CAH589914 CJW589914:CKD589914 CTS589914:CTZ589914 DDO589914:DDV589914 DNK589914:DNR589914 DXG589914:DXN589914 EHC589914:EHJ589914 EQY589914:ERF589914 FAU589914:FBB589914 FKQ589914:FKX589914 FUM589914:FUT589914 GEI589914:GEP589914 GOE589914:GOL589914 GYA589914:GYH589914 HHW589914:HID589914 HRS589914:HRZ589914 IBO589914:IBV589914 ILK589914:ILR589914 IVG589914:IVN589914 JFC589914:JFJ589914 JOY589914:JPF589914 JYU589914:JZB589914 KIQ589914:KIX589914 KSM589914:KST589914 LCI589914:LCP589914 LME589914:LML589914 LWA589914:LWH589914 MFW589914:MGD589914 MPS589914:MPZ589914 MZO589914:MZV589914 NJK589914:NJR589914 NTG589914:NTN589914 ODC589914:ODJ589914 OMY589914:ONF589914 OWU589914:OXB589914 PGQ589914:PGX589914 PQM589914:PQT589914 QAI589914:QAP589914 QKE589914:QKL589914 QUA589914:QUH589914 RDW589914:RED589914 RNS589914:RNZ589914 RXO589914:RXV589914 SHK589914:SHR589914 SRG589914:SRN589914 TBC589914:TBJ589914 TKY589914:TLF589914 TUU589914:TVB589914 UEQ589914:UEX589914 UOM589914:UOT589914 UYI589914:UYP589914 VIE589914:VIL589914 VSA589914:VSH589914 WBW589914:WCD589914 WLS589914:WLZ589914 WVO589914:WVV589914 G655450:N655450 JC655450:JJ655450 SY655450:TF655450 ACU655450:ADB655450 AMQ655450:AMX655450 AWM655450:AWT655450 BGI655450:BGP655450 BQE655450:BQL655450 CAA655450:CAH655450 CJW655450:CKD655450 CTS655450:CTZ655450 DDO655450:DDV655450 DNK655450:DNR655450 DXG655450:DXN655450 EHC655450:EHJ655450 EQY655450:ERF655450 FAU655450:FBB655450 FKQ655450:FKX655450 FUM655450:FUT655450 GEI655450:GEP655450 GOE655450:GOL655450 GYA655450:GYH655450 HHW655450:HID655450 HRS655450:HRZ655450 IBO655450:IBV655450 ILK655450:ILR655450 IVG655450:IVN655450 JFC655450:JFJ655450 JOY655450:JPF655450 JYU655450:JZB655450 KIQ655450:KIX655450 KSM655450:KST655450 LCI655450:LCP655450 LME655450:LML655450 LWA655450:LWH655450 MFW655450:MGD655450 MPS655450:MPZ655450 MZO655450:MZV655450 NJK655450:NJR655450 NTG655450:NTN655450 ODC655450:ODJ655450 OMY655450:ONF655450 OWU655450:OXB655450 PGQ655450:PGX655450 PQM655450:PQT655450 QAI655450:QAP655450 QKE655450:QKL655450 QUA655450:QUH655450 RDW655450:RED655450 RNS655450:RNZ655450 RXO655450:RXV655450 SHK655450:SHR655450 SRG655450:SRN655450 TBC655450:TBJ655450 TKY655450:TLF655450 TUU655450:TVB655450 UEQ655450:UEX655450 UOM655450:UOT655450 UYI655450:UYP655450 VIE655450:VIL655450 VSA655450:VSH655450 WBW655450:WCD655450 WLS655450:WLZ655450 WVO655450:WVV655450 G720986:N720986 JC720986:JJ720986 SY720986:TF720986 ACU720986:ADB720986 AMQ720986:AMX720986 AWM720986:AWT720986 BGI720986:BGP720986 BQE720986:BQL720986 CAA720986:CAH720986 CJW720986:CKD720986 CTS720986:CTZ720986 DDO720986:DDV720986 DNK720986:DNR720986 DXG720986:DXN720986 EHC720986:EHJ720986 EQY720986:ERF720986 FAU720986:FBB720986 FKQ720986:FKX720986 FUM720986:FUT720986 GEI720986:GEP720986 GOE720986:GOL720986 GYA720986:GYH720986 HHW720986:HID720986 HRS720986:HRZ720986 IBO720986:IBV720986 ILK720986:ILR720986 IVG720986:IVN720986 JFC720986:JFJ720986 JOY720986:JPF720986 JYU720986:JZB720986 KIQ720986:KIX720986 KSM720986:KST720986 LCI720986:LCP720986 LME720986:LML720986 LWA720986:LWH720986 MFW720986:MGD720986 MPS720986:MPZ720986 MZO720986:MZV720986 NJK720986:NJR720986 NTG720986:NTN720986 ODC720986:ODJ720986 OMY720986:ONF720986 OWU720986:OXB720986 PGQ720986:PGX720986 PQM720986:PQT720986 QAI720986:QAP720986 QKE720986:QKL720986 QUA720986:QUH720986 RDW720986:RED720986 RNS720986:RNZ720986 RXO720986:RXV720986 SHK720986:SHR720986 SRG720986:SRN720986 TBC720986:TBJ720986 TKY720986:TLF720986 TUU720986:TVB720986 UEQ720986:UEX720986 UOM720986:UOT720986 UYI720986:UYP720986 VIE720986:VIL720986 VSA720986:VSH720986 WBW720986:WCD720986 WLS720986:WLZ720986 WVO720986:WVV720986 G786522:N786522 JC786522:JJ786522 SY786522:TF786522 ACU786522:ADB786522 AMQ786522:AMX786522 AWM786522:AWT786522 BGI786522:BGP786522 BQE786522:BQL786522 CAA786522:CAH786522 CJW786522:CKD786522 CTS786522:CTZ786522 DDO786522:DDV786522 DNK786522:DNR786522 DXG786522:DXN786522 EHC786522:EHJ786522 EQY786522:ERF786522 FAU786522:FBB786522 FKQ786522:FKX786522 FUM786522:FUT786522 GEI786522:GEP786522 GOE786522:GOL786522 GYA786522:GYH786522 HHW786522:HID786522 HRS786522:HRZ786522 IBO786522:IBV786522 ILK786522:ILR786522 IVG786522:IVN786522 JFC786522:JFJ786522 JOY786522:JPF786522 JYU786522:JZB786522 KIQ786522:KIX786522 KSM786522:KST786522 LCI786522:LCP786522 LME786522:LML786522 LWA786522:LWH786522 MFW786522:MGD786522 MPS786522:MPZ786522 MZO786522:MZV786522 NJK786522:NJR786522 NTG786522:NTN786522 ODC786522:ODJ786522 OMY786522:ONF786522 OWU786522:OXB786522 PGQ786522:PGX786522 PQM786522:PQT786522 QAI786522:QAP786522 QKE786522:QKL786522 QUA786522:QUH786522 RDW786522:RED786522 RNS786522:RNZ786522 RXO786522:RXV786522 SHK786522:SHR786522 SRG786522:SRN786522 TBC786522:TBJ786522 TKY786522:TLF786522 TUU786522:TVB786522 UEQ786522:UEX786522 UOM786522:UOT786522 UYI786522:UYP786522 VIE786522:VIL786522 VSA786522:VSH786522 WBW786522:WCD786522 WLS786522:WLZ786522 WVO786522:WVV786522 G852058:N852058 JC852058:JJ852058 SY852058:TF852058 ACU852058:ADB852058 AMQ852058:AMX852058 AWM852058:AWT852058 BGI852058:BGP852058 BQE852058:BQL852058 CAA852058:CAH852058 CJW852058:CKD852058 CTS852058:CTZ852058 DDO852058:DDV852058 DNK852058:DNR852058 DXG852058:DXN852058 EHC852058:EHJ852058 EQY852058:ERF852058 FAU852058:FBB852058 FKQ852058:FKX852058 FUM852058:FUT852058 GEI852058:GEP852058 GOE852058:GOL852058 GYA852058:GYH852058 HHW852058:HID852058 HRS852058:HRZ852058 IBO852058:IBV852058 ILK852058:ILR852058 IVG852058:IVN852058 JFC852058:JFJ852058 JOY852058:JPF852058 JYU852058:JZB852058 KIQ852058:KIX852058 KSM852058:KST852058 LCI852058:LCP852058 LME852058:LML852058 LWA852058:LWH852058 MFW852058:MGD852058 MPS852058:MPZ852058 MZO852058:MZV852058 NJK852058:NJR852058 NTG852058:NTN852058 ODC852058:ODJ852058 OMY852058:ONF852058 OWU852058:OXB852058 PGQ852058:PGX852058 PQM852058:PQT852058 QAI852058:QAP852058 QKE852058:QKL852058 QUA852058:QUH852058 RDW852058:RED852058 RNS852058:RNZ852058 RXO852058:RXV852058 SHK852058:SHR852058 SRG852058:SRN852058 TBC852058:TBJ852058 TKY852058:TLF852058 TUU852058:TVB852058 UEQ852058:UEX852058 UOM852058:UOT852058 UYI852058:UYP852058 VIE852058:VIL852058 VSA852058:VSH852058 WBW852058:WCD852058 WLS852058:WLZ852058 WVO852058:WVV852058 G917594:N917594 JC917594:JJ917594 SY917594:TF917594 ACU917594:ADB917594 AMQ917594:AMX917594 AWM917594:AWT917594 BGI917594:BGP917594 BQE917594:BQL917594 CAA917594:CAH917594 CJW917594:CKD917594 CTS917594:CTZ917594 DDO917594:DDV917594 DNK917594:DNR917594 DXG917594:DXN917594 EHC917594:EHJ917594 EQY917594:ERF917594 FAU917594:FBB917594 FKQ917594:FKX917594 FUM917594:FUT917594 GEI917594:GEP917594 GOE917594:GOL917594 GYA917594:GYH917594 HHW917594:HID917594 HRS917594:HRZ917594 IBO917594:IBV917594 ILK917594:ILR917594 IVG917594:IVN917594 JFC917594:JFJ917594 JOY917594:JPF917594 JYU917594:JZB917594 KIQ917594:KIX917594 KSM917594:KST917594 LCI917594:LCP917594 LME917594:LML917594 LWA917594:LWH917594 MFW917594:MGD917594 MPS917594:MPZ917594 MZO917594:MZV917594 NJK917594:NJR917594 NTG917594:NTN917594 ODC917594:ODJ917594 OMY917594:ONF917594 OWU917594:OXB917594 PGQ917594:PGX917594 PQM917594:PQT917594 QAI917594:QAP917594 QKE917594:QKL917594 QUA917594:QUH917594 RDW917594:RED917594 RNS917594:RNZ917594 RXO917594:RXV917594 SHK917594:SHR917594 SRG917594:SRN917594 TBC917594:TBJ917594 TKY917594:TLF917594 TUU917594:TVB917594 UEQ917594:UEX917594 UOM917594:UOT917594 UYI917594:UYP917594 VIE917594:VIL917594 VSA917594:VSH917594 WBW917594:WCD917594 WLS917594:WLZ917594 WVO917594:WVV917594 G983130:N983130 JC983130:JJ983130 SY983130:TF983130 ACU983130:ADB983130 AMQ983130:AMX983130 AWM983130:AWT983130 BGI983130:BGP983130 BQE983130:BQL983130 CAA983130:CAH983130 CJW983130:CKD983130 CTS983130:CTZ983130 DDO983130:DDV983130 DNK983130:DNR983130 DXG983130:DXN983130 EHC983130:EHJ983130 EQY983130:ERF983130 FAU983130:FBB983130 FKQ983130:FKX983130 FUM983130:FUT983130 GEI983130:GEP983130 GOE983130:GOL983130 GYA983130:GYH983130 HHW983130:HID983130 HRS983130:HRZ983130 IBO983130:IBV983130 ILK983130:ILR983130 IVG983130:IVN983130 JFC983130:JFJ983130 JOY983130:JPF983130 JYU983130:JZB983130 KIQ983130:KIX983130 KSM983130:KST983130 LCI983130:LCP983130 LME983130:LML983130 LWA983130:LWH983130 MFW983130:MGD983130 MPS983130:MPZ983130 MZO983130:MZV983130 NJK983130:NJR983130 NTG983130:NTN983130 ODC983130:ODJ983130 OMY983130:ONF983130 OWU983130:OXB983130 PGQ983130:PGX983130 PQM983130:PQT983130 QAI983130:QAP983130 QKE983130:QKL983130 QUA983130:QUH983130 RDW983130:RED983130 RNS983130:RNZ983130 RXO983130:RXV983130 SHK983130:SHR983130 SRG983130:SRN983130 TBC983130:TBJ983130 TKY983130:TLF983130 TUU983130:TVB983130 UEQ983130:UEX983130 UOM983130:UOT983130 UYI983130:UYP983130 VIE983130:VIL983130 VSA983130:VSH983130 WBW983130:WCD983130 WLS983130:WLZ983130 WVO983130:WVV983130 G12:N12 JC12:JJ12 SY12:TF12 ACU12:ADB12 AMQ12:AMX12 AWM12:AWT12 BGI12:BGP12 BQE12:BQL12 CAA12:CAH12 CJW12:CKD12 CTS12:CTZ12 DDO12:DDV12 DNK12:DNR12 DXG12:DXN12 EHC12:EHJ12 EQY12:ERF12 FAU12:FBB12 FKQ12:FKX12 FUM12:FUT12 GEI12:GEP12 GOE12:GOL12 GYA12:GYH12 HHW12:HID12 HRS12:HRZ12 IBO12:IBV12 ILK12:ILR12 IVG12:IVN12 JFC12:JFJ12 JOY12:JPF12 JYU12:JZB12 KIQ12:KIX12 KSM12:KST12 LCI12:LCP12 LME12:LML12 LWA12:LWH12 MFW12:MGD12 MPS12:MPZ12 MZO12:MZV12 NJK12:NJR12 NTG12:NTN12 ODC12:ODJ12 OMY12:ONF12 OWU12:OXB12 PGQ12:PGX12 PQM12:PQT12 QAI12:QAP12 QKE12:QKL12 QUA12:QUH12 RDW12:RED12 RNS12:RNZ12 RXO12:RXV12 SHK12:SHR12 SRG12:SRN12 TBC12:TBJ12 TKY12:TLF12 TUU12:TVB12 UEQ12:UEX12 UOM12:UOT12 UYI12:UYP12 VIE12:VIL12 VSA12:VSH12 WBW12:WCD12 WLS12:WLZ12 WVO12:WVV12 G65548:N65548 JC65548:JJ65548 SY65548:TF65548 ACU65548:ADB65548 AMQ65548:AMX65548 AWM65548:AWT65548 BGI65548:BGP65548 BQE65548:BQL65548 CAA65548:CAH65548 CJW65548:CKD65548 CTS65548:CTZ65548 DDO65548:DDV65548 DNK65548:DNR65548 DXG65548:DXN65548 EHC65548:EHJ65548 EQY65548:ERF65548 FAU65548:FBB65548 FKQ65548:FKX65548 FUM65548:FUT65548 GEI65548:GEP65548 GOE65548:GOL65548 GYA65548:GYH65548 HHW65548:HID65548 HRS65548:HRZ65548 IBO65548:IBV65548 ILK65548:ILR65548 IVG65548:IVN65548 JFC65548:JFJ65548 JOY65548:JPF65548 JYU65548:JZB65548 KIQ65548:KIX65548 KSM65548:KST65548 LCI65548:LCP65548 LME65548:LML65548 LWA65548:LWH65548 MFW65548:MGD65548 MPS65548:MPZ65548 MZO65548:MZV65548 NJK65548:NJR65548 NTG65548:NTN65548 ODC65548:ODJ65548 OMY65548:ONF65548 OWU65548:OXB65548 PGQ65548:PGX65548 PQM65548:PQT65548 QAI65548:QAP65548 QKE65548:QKL65548 QUA65548:QUH65548 RDW65548:RED65548 RNS65548:RNZ65548 RXO65548:RXV65548 SHK65548:SHR65548 SRG65548:SRN65548 TBC65548:TBJ65548 TKY65548:TLF65548 TUU65548:TVB65548 UEQ65548:UEX65548 UOM65548:UOT65548 UYI65548:UYP65548 VIE65548:VIL65548 VSA65548:VSH65548 WBW65548:WCD65548 WLS65548:WLZ65548 WVO65548:WVV65548 G131084:N131084 JC131084:JJ131084 SY131084:TF131084 ACU131084:ADB131084 AMQ131084:AMX131084 AWM131084:AWT131084 BGI131084:BGP131084 BQE131084:BQL131084 CAA131084:CAH131084 CJW131084:CKD131084 CTS131084:CTZ131084 DDO131084:DDV131084 DNK131084:DNR131084 DXG131084:DXN131084 EHC131084:EHJ131084 EQY131084:ERF131084 FAU131084:FBB131084 FKQ131084:FKX131084 FUM131084:FUT131084 GEI131084:GEP131084 GOE131084:GOL131084 GYA131084:GYH131084 HHW131084:HID131084 HRS131084:HRZ131084 IBO131084:IBV131084 ILK131084:ILR131084 IVG131084:IVN131084 JFC131084:JFJ131084 JOY131084:JPF131084 JYU131084:JZB131084 KIQ131084:KIX131084 KSM131084:KST131084 LCI131084:LCP131084 LME131084:LML131084 LWA131084:LWH131084 MFW131084:MGD131084 MPS131084:MPZ131084 MZO131084:MZV131084 NJK131084:NJR131084 NTG131084:NTN131084 ODC131084:ODJ131084 OMY131084:ONF131084 OWU131084:OXB131084 PGQ131084:PGX131084 PQM131084:PQT131084 QAI131084:QAP131084 QKE131084:QKL131084 QUA131084:QUH131084 RDW131084:RED131084 RNS131084:RNZ131084 RXO131084:RXV131084 SHK131084:SHR131084 SRG131084:SRN131084 TBC131084:TBJ131084 TKY131084:TLF131084 TUU131084:TVB131084 UEQ131084:UEX131084 UOM131084:UOT131084 UYI131084:UYP131084 VIE131084:VIL131084 VSA131084:VSH131084 WBW131084:WCD131084 WLS131084:WLZ131084 WVO131084:WVV131084 G196620:N196620 JC196620:JJ196620 SY196620:TF196620 ACU196620:ADB196620 AMQ196620:AMX196620 AWM196620:AWT196620 BGI196620:BGP196620 BQE196620:BQL196620 CAA196620:CAH196620 CJW196620:CKD196620 CTS196620:CTZ196620 DDO196620:DDV196620 DNK196620:DNR196620 DXG196620:DXN196620 EHC196620:EHJ196620 EQY196620:ERF196620 FAU196620:FBB196620 FKQ196620:FKX196620 FUM196620:FUT196620 GEI196620:GEP196620 GOE196620:GOL196620 GYA196620:GYH196620 HHW196620:HID196620 HRS196620:HRZ196620 IBO196620:IBV196620 ILK196620:ILR196620 IVG196620:IVN196620 JFC196620:JFJ196620 JOY196620:JPF196620 JYU196620:JZB196620 KIQ196620:KIX196620 KSM196620:KST196620 LCI196620:LCP196620 LME196620:LML196620 LWA196620:LWH196620 MFW196620:MGD196620 MPS196620:MPZ196620 MZO196620:MZV196620 NJK196620:NJR196620 NTG196620:NTN196620 ODC196620:ODJ196620 OMY196620:ONF196620 OWU196620:OXB196620 PGQ196620:PGX196620 PQM196620:PQT196620 QAI196620:QAP196620 QKE196620:QKL196620 QUA196620:QUH196620 RDW196620:RED196620 RNS196620:RNZ196620 RXO196620:RXV196620 SHK196620:SHR196620 SRG196620:SRN196620 TBC196620:TBJ196620 TKY196620:TLF196620 TUU196620:TVB196620 UEQ196620:UEX196620 UOM196620:UOT196620 UYI196620:UYP196620 VIE196620:VIL196620 VSA196620:VSH196620 WBW196620:WCD196620 WLS196620:WLZ196620 WVO196620:WVV196620 G262156:N262156 JC262156:JJ262156 SY262156:TF262156 ACU262156:ADB262156 AMQ262156:AMX262156 AWM262156:AWT262156 BGI262156:BGP262156 BQE262156:BQL262156 CAA262156:CAH262156 CJW262156:CKD262156 CTS262156:CTZ262156 DDO262156:DDV262156 DNK262156:DNR262156 DXG262156:DXN262156 EHC262156:EHJ262156 EQY262156:ERF262156 FAU262156:FBB262156 FKQ262156:FKX262156 FUM262156:FUT262156 GEI262156:GEP262156 GOE262156:GOL262156 GYA262156:GYH262156 HHW262156:HID262156 HRS262156:HRZ262156 IBO262156:IBV262156 ILK262156:ILR262156 IVG262156:IVN262156 JFC262156:JFJ262156 JOY262156:JPF262156 JYU262156:JZB262156 KIQ262156:KIX262156 KSM262156:KST262156 LCI262156:LCP262156 LME262156:LML262156 LWA262156:LWH262156 MFW262156:MGD262156 MPS262156:MPZ262156 MZO262156:MZV262156 NJK262156:NJR262156 NTG262156:NTN262156 ODC262156:ODJ262156 OMY262156:ONF262156 OWU262156:OXB262156 PGQ262156:PGX262156 PQM262156:PQT262156 QAI262156:QAP262156 QKE262156:QKL262156 QUA262156:QUH262156 RDW262156:RED262156 RNS262156:RNZ262156 RXO262156:RXV262156 SHK262156:SHR262156 SRG262156:SRN262156 TBC262156:TBJ262156 TKY262156:TLF262156 TUU262156:TVB262156 UEQ262156:UEX262156 UOM262156:UOT262156 UYI262156:UYP262156 VIE262156:VIL262156 VSA262156:VSH262156 WBW262156:WCD262156 WLS262156:WLZ262156 WVO262156:WVV262156 G327692:N327692 JC327692:JJ327692 SY327692:TF327692 ACU327692:ADB327692 AMQ327692:AMX327692 AWM327692:AWT327692 BGI327692:BGP327692 BQE327692:BQL327692 CAA327692:CAH327692 CJW327692:CKD327692 CTS327692:CTZ327692 DDO327692:DDV327692 DNK327692:DNR327692 DXG327692:DXN327692 EHC327692:EHJ327692 EQY327692:ERF327692 FAU327692:FBB327692 FKQ327692:FKX327692 FUM327692:FUT327692 GEI327692:GEP327692 GOE327692:GOL327692 GYA327692:GYH327692 HHW327692:HID327692 HRS327692:HRZ327692 IBO327692:IBV327692 ILK327692:ILR327692 IVG327692:IVN327692 JFC327692:JFJ327692 JOY327692:JPF327692 JYU327692:JZB327692 KIQ327692:KIX327692 KSM327692:KST327692 LCI327692:LCP327692 LME327692:LML327692 LWA327692:LWH327692 MFW327692:MGD327692 MPS327692:MPZ327692 MZO327692:MZV327692 NJK327692:NJR327692 NTG327692:NTN327692 ODC327692:ODJ327692 OMY327692:ONF327692 OWU327692:OXB327692 PGQ327692:PGX327692 PQM327692:PQT327692 QAI327692:QAP327692 QKE327692:QKL327692 QUA327692:QUH327692 RDW327692:RED327692 RNS327692:RNZ327692 RXO327692:RXV327692 SHK327692:SHR327692 SRG327692:SRN327692 TBC327692:TBJ327692 TKY327692:TLF327692 TUU327692:TVB327692 UEQ327692:UEX327692 UOM327692:UOT327692 UYI327692:UYP327692 VIE327692:VIL327692 VSA327692:VSH327692 WBW327692:WCD327692 WLS327692:WLZ327692 WVO327692:WVV327692 G393228:N393228 JC393228:JJ393228 SY393228:TF393228 ACU393228:ADB393228 AMQ393228:AMX393228 AWM393228:AWT393228 BGI393228:BGP393228 BQE393228:BQL393228 CAA393228:CAH393228 CJW393228:CKD393228 CTS393228:CTZ393228 DDO393228:DDV393228 DNK393228:DNR393228 DXG393228:DXN393228 EHC393228:EHJ393228 EQY393228:ERF393228 FAU393228:FBB393228 FKQ393228:FKX393228 FUM393228:FUT393228 GEI393228:GEP393228 GOE393228:GOL393228 GYA393228:GYH393228 HHW393228:HID393228 HRS393228:HRZ393228 IBO393228:IBV393228 ILK393228:ILR393228 IVG393228:IVN393228 JFC393228:JFJ393228 JOY393228:JPF393228 JYU393228:JZB393228 KIQ393228:KIX393228 KSM393228:KST393228 LCI393228:LCP393228 LME393228:LML393228 LWA393228:LWH393228 MFW393228:MGD393228 MPS393228:MPZ393228 MZO393228:MZV393228 NJK393228:NJR393228 NTG393228:NTN393228 ODC393228:ODJ393228 OMY393228:ONF393228 OWU393228:OXB393228 PGQ393228:PGX393228 PQM393228:PQT393228 QAI393228:QAP393228 QKE393228:QKL393228 QUA393228:QUH393228 RDW393228:RED393228 RNS393228:RNZ393228 RXO393228:RXV393228 SHK393228:SHR393228 SRG393228:SRN393228 TBC393228:TBJ393228 TKY393228:TLF393228 TUU393228:TVB393228 UEQ393228:UEX393228 UOM393228:UOT393228 UYI393228:UYP393228 VIE393228:VIL393228 VSA393228:VSH393228 WBW393228:WCD393228 WLS393228:WLZ393228 WVO393228:WVV393228 G458764:N458764 JC458764:JJ458764 SY458764:TF458764 ACU458764:ADB458764 AMQ458764:AMX458764 AWM458764:AWT458764 BGI458764:BGP458764 BQE458764:BQL458764 CAA458764:CAH458764 CJW458764:CKD458764 CTS458764:CTZ458764 DDO458764:DDV458764 DNK458764:DNR458764 DXG458764:DXN458764 EHC458764:EHJ458764 EQY458764:ERF458764 FAU458764:FBB458764 FKQ458764:FKX458764 FUM458764:FUT458764 GEI458764:GEP458764 GOE458764:GOL458764 GYA458764:GYH458764 HHW458764:HID458764 HRS458764:HRZ458764 IBO458764:IBV458764 ILK458764:ILR458764 IVG458764:IVN458764 JFC458764:JFJ458764 JOY458764:JPF458764 JYU458764:JZB458764 KIQ458764:KIX458764 KSM458764:KST458764 LCI458764:LCP458764 LME458764:LML458764 LWA458764:LWH458764 MFW458764:MGD458764 MPS458764:MPZ458764 MZO458764:MZV458764 NJK458764:NJR458764 NTG458764:NTN458764 ODC458764:ODJ458764 OMY458764:ONF458764 OWU458764:OXB458764 PGQ458764:PGX458764 PQM458764:PQT458764 QAI458764:QAP458764 QKE458764:QKL458764 QUA458764:QUH458764 RDW458764:RED458764 RNS458764:RNZ458764 RXO458764:RXV458764 SHK458764:SHR458764 SRG458764:SRN458764 TBC458764:TBJ458764 TKY458764:TLF458764 TUU458764:TVB458764 UEQ458764:UEX458764 UOM458764:UOT458764 UYI458764:UYP458764 VIE458764:VIL458764 VSA458764:VSH458764 WBW458764:WCD458764 WLS458764:WLZ458764 WVO458764:WVV458764 G524300:N524300 JC524300:JJ524300 SY524300:TF524300 ACU524300:ADB524300 AMQ524300:AMX524300 AWM524300:AWT524300 BGI524300:BGP524300 BQE524300:BQL524300 CAA524300:CAH524300 CJW524300:CKD524300 CTS524300:CTZ524300 DDO524300:DDV524300 DNK524300:DNR524300 DXG524300:DXN524300 EHC524300:EHJ524300 EQY524300:ERF524300 FAU524300:FBB524300 FKQ524300:FKX524300 FUM524300:FUT524300 GEI524300:GEP524300 GOE524300:GOL524300 GYA524300:GYH524300 HHW524300:HID524300 HRS524300:HRZ524300 IBO524300:IBV524300 ILK524300:ILR524300 IVG524300:IVN524300 JFC524300:JFJ524300 JOY524300:JPF524300 JYU524300:JZB524300 KIQ524300:KIX524300 KSM524300:KST524300 LCI524300:LCP524300 LME524300:LML524300 LWA524300:LWH524300 MFW524300:MGD524300 MPS524300:MPZ524300 MZO524300:MZV524300 NJK524300:NJR524300 NTG524300:NTN524300 ODC524300:ODJ524300 OMY524300:ONF524300 OWU524300:OXB524300 PGQ524300:PGX524300 PQM524300:PQT524300 QAI524300:QAP524300 QKE524300:QKL524300 QUA524300:QUH524300 RDW524300:RED524300 RNS524300:RNZ524300 RXO524300:RXV524300 SHK524300:SHR524300 SRG524300:SRN524300 TBC524300:TBJ524300 TKY524300:TLF524300 TUU524300:TVB524300 UEQ524300:UEX524300 UOM524300:UOT524300 UYI524300:UYP524300 VIE524300:VIL524300 VSA524300:VSH524300 WBW524300:WCD524300 WLS524300:WLZ524300 WVO524300:WVV524300 G589836:N589836 JC589836:JJ589836 SY589836:TF589836 ACU589836:ADB589836 AMQ589836:AMX589836 AWM589836:AWT589836 BGI589836:BGP589836 BQE589836:BQL589836 CAA589836:CAH589836 CJW589836:CKD589836 CTS589836:CTZ589836 DDO589836:DDV589836 DNK589836:DNR589836 DXG589836:DXN589836 EHC589836:EHJ589836 EQY589836:ERF589836 FAU589836:FBB589836 FKQ589836:FKX589836 FUM589836:FUT589836 GEI589836:GEP589836 GOE589836:GOL589836 GYA589836:GYH589836 HHW589836:HID589836 HRS589836:HRZ589836 IBO589836:IBV589836 ILK589836:ILR589836 IVG589836:IVN589836 JFC589836:JFJ589836 JOY589836:JPF589836 JYU589836:JZB589836 KIQ589836:KIX589836 KSM589836:KST589836 LCI589836:LCP589836 LME589836:LML589836 LWA589836:LWH589836 MFW589836:MGD589836 MPS589836:MPZ589836 MZO589836:MZV589836 NJK589836:NJR589836 NTG589836:NTN589836 ODC589836:ODJ589836 OMY589836:ONF589836 OWU589836:OXB589836 PGQ589836:PGX589836 PQM589836:PQT589836 QAI589836:QAP589836 QKE589836:QKL589836 QUA589836:QUH589836 RDW589836:RED589836 RNS589836:RNZ589836 RXO589836:RXV589836 SHK589836:SHR589836 SRG589836:SRN589836 TBC589836:TBJ589836 TKY589836:TLF589836 TUU589836:TVB589836 UEQ589836:UEX589836 UOM589836:UOT589836 UYI589836:UYP589836 VIE589836:VIL589836 VSA589836:VSH589836 WBW589836:WCD589836 WLS589836:WLZ589836 WVO589836:WVV589836 G655372:N655372 JC655372:JJ655372 SY655372:TF655372 ACU655372:ADB655372 AMQ655372:AMX655372 AWM655372:AWT655372 BGI655372:BGP655372 BQE655372:BQL655372 CAA655372:CAH655372 CJW655372:CKD655372 CTS655372:CTZ655372 DDO655372:DDV655372 DNK655372:DNR655372 DXG655372:DXN655372 EHC655372:EHJ655372 EQY655372:ERF655372 FAU655372:FBB655372 FKQ655372:FKX655372 FUM655372:FUT655372 GEI655372:GEP655372 GOE655372:GOL655372 GYA655372:GYH655372 HHW655372:HID655372 HRS655372:HRZ655372 IBO655372:IBV655372 ILK655372:ILR655372 IVG655372:IVN655372 JFC655372:JFJ655372 JOY655372:JPF655372 JYU655372:JZB655372 KIQ655372:KIX655372 KSM655372:KST655372 LCI655372:LCP655372 LME655372:LML655372 LWA655372:LWH655372 MFW655372:MGD655372 MPS655372:MPZ655372 MZO655372:MZV655372 NJK655372:NJR655372 NTG655372:NTN655372 ODC655372:ODJ655372 OMY655372:ONF655372 OWU655372:OXB655372 PGQ655372:PGX655372 PQM655372:PQT655372 QAI655372:QAP655372 QKE655372:QKL655372 QUA655372:QUH655372 RDW655372:RED655372 RNS655372:RNZ655372 RXO655372:RXV655372 SHK655372:SHR655372 SRG655372:SRN655372 TBC655372:TBJ655372 TKY655372:TLF655372 TUU655372:TVB655372 UEQ655372:UEX655372 UOM655372:UOT655372 UYI655372:UYP655372 VIE655372:VIL655372 VSA655372:VSH655372 WBW655372:WCD655372 WLS655372:WLZ655372 WVO655372:WVV655372 G720908:N720908 JC720908:JJ720908 SY720908:TF720908 ACU720908:ADB720908 AMQ720908:AMX720908 AWM720908:AWT720908 BGI720908:BGP720908 BQE720908:BQL720908 CAA720908:CAH720908 CJW720908:CKD720908 CTS720908:CTZ720908 DDO720908:DDV720908 DNK720908:DNR720908 DXG720908:DXN720908 EHC720908:EHJ720908 EQY720908:ERF720908 FAU720908:FBB720908 FKQ720908:FKX720908 FUM720908:FUT720908 GEI720908:GEP720908 GOE720908:GOL720908 GYA720908:GYH720908 HHW720908:HID720908 HRS720908:HRZ720908 IBO720908:IBV720908 ILK720908:ILR720908 IVG720908:IVN720908 JFC720908:JFJ720908 JOY720908:JPF720908 JYU720908:JZB720908 KIQ720908:KIX720908 KSM720908:KST720908 LCI720908:LCP720908 LME720908:LML720908 LWA720908:LWH720908 MFW720908:MGD720908 MPS720908:MPZ720908 MZO720908:MZV720908 NJK720908:NJR720908 NTG720908:NTN720908 ODC720908:ODJ720908 OMY720908:ONF720908 OWU720908:OXB720908 PGQ720908:PGX720908 PQM720908:PQT720908 QAI720908:QAP720908 QKE720908:QKL720908 QUA720908:QUH720908 RDW720908:RED720908 RNS720908:RNZ720908 RXO720908:RXV720908 SHK720908:SHR720908 SRG720908:SRN720908 TBC720908:TBJ720908 TKY720908:TLF720908 TUU720908:TVB720908 UEQ720908:UEX720908 UOM720908:UOT720908 UYI720908:UYP720908 VIE720908:VIL720908 VSA720908:VSH720908 WBW720908:WCD720908 WLS720908:WLZ720908 WVO720908:WVV720908 G786444:N786444 JC786444:JJ786444 SY786444:TF786444 ACU786444:ADB786444 AMQ786444:AMX786444 AWM786444:AWT786444 BGI786444:BGP786444 BQE786444:BQL786444 CAA786444:CAH786444 CJW786444:CKD786444 CTS786444:CTZ786444 DDO786444:DDV786444 DNK786444:DNR786444 DXG786444:DXN786444 EHC786444:EHJ786444 EQY786444:ERF786444 FAU786444:FBB786444 FKQ786444:FKX786444 FUM786444:FUT786444 GEI786444:GEP786444 GOE786444:GOL786444 GYA786444:GYH786444 HHW786444:HID786444 HRS786444:HRZ786444 IBO786444:IBV786444 ILK786444:ILR786444 IVG786444:IVN786444 JFC786444:JFJ786444 JOY786444:JPF786444 JYU786444:JZB786444 KIQ786444:KIX786444 KSM786444:KST786444 LCI786444:LCP786444 LME786444:LML786444 LWA786444:LWH786444 MFW786444:MGD786444 MPS786444:MPZ786444 MZO786444:MZV786444 NJK786444:NJR786444 NTG786444:NTN786444 ODC786444:ODJ786444 OMY786444:ONF786444 OWU786444:OXB786444 PGQ786444:PGX786444 PQM786444:PQT786444 QAI786444:QAP786444 QKE786444:QKL786444 QUA786444:QUH786444 RDW786444:RED786444 RNS786444:RNZ786444 RXO786444:RXV786444 SHK786444:SHR786444 SRG786444:SRN786444 TBC786444:TBJ786444 TKY786444:TLF786444 TUU786444:TVB786444 UEQ786444:UEX786444 UOM786444:UOT786444 UYI786444:UYP786444 VIE786444:VIL786444 VSA786444:VSH786444 WBW786444:WCD786444 WLS786444:WLZ786444 WVO786444:WVV786444 G851980:N851980 JC851980:JJ851980 SY851980:TF851980 ACU851980:ADB851980 AMQ851980:AMX851980 AWM851980:AWT851980 BGI851980:BGP851980 BQE851980:BQL851980 CAA851980:CAH851980 CJW851980:CKD851980 CTS851980:CTZ851980 DDO851980:DDV851980 DNK851980:DNR851980 DXG851980:DXN851980 EHC851980:EHJ851980 EQY851980:ERF851980 FAU851980:FBB851980 FKQ851980:FKX851980 FUM851980:FUT851980 GEI851980:GEP851980 GOE851980:GOL851980 GYA851980:GYH851980 HHW851980:HID851980 HRS851980:HRZ851980 IBO851980:IBV851980 ILK851980:ILR851980 IVG851980:IVN851980 JFC851980:JFJ851980 JOY851980:JPF851980 JYU851980:JZB851980 KIQ851980:KIX851980 KSM851980:KST851980 LCI851980:LCP851980 LME851980:LML851980 LWA851980:LWH851980 MFW851980:MGD851980 MPS851980:MPZ851980 MZO851980:MZV851980 NJK851980:NJR851980 NTG851980:NTN851980 ODC851980:ODJ851980 OMY851980:ONF851980 OWU851980:OXB851980 PGQ851980:PGX851980 PQM851980:PQT851980 QAI851980:QAP851980 QKE851980:QKL851980 QUA851980:QUH851980 RDW851980:RED851980 RNS851980:RNZ851980 RXO851980:RXV851980 SHK851980:SHR851980 SRG851980:SRN851980 TBC851980:TBJ851980 TKY851980:TLF851980 TUU851980:TVB851980 UEQ851980:UEX851980 UOM851980:UOT851980 UYI851980:UYP851980 VIE851980:VIL851980 VSA851980:VSH851980 WBW851980:WCD851980 WLS851980:WLZ851980 WVO851980:WVV851980 G917516:N917516 JC917516:JJ917516 SY917516:TF917516 ACU917516:ADB917516 AMQ917516:AMX917516 AWM917516:AWT917516 BGI917516:BGP917516 BQE917516:BQL917516 CAA917516:CAH917516 CJW917516:CKD917516 CTS917516:CTZ917516 DDO917516:DDV917516 DNK917516:DNR917516 DXG917516:DXN917516 EHC917516:EHJ917516 EQY917516:ERF917516 FAU917516:FBB917516 FKQ917516:FKX917516 FUM917516:FUT917516 GEI917516:GEP917516 GOE917516:GOL917516 GYA917516:GYH917516 HHW917516:HID917516 HRS917516:HRZ917516 IBO917516:IBV917516 ILK917516:ILR917516 IVG917516:IVN917516 JFC917516:JFJ917516 JOY917516:JPF917516 JYU917516:JZB917516 KIQ917516:KIX917516 KSM917516:KST917516 LCI917516:LCP917516 LME917516:LML917516 LWA917516:LWH917516 MFW917516:MGD917516 MPS917516:MPZ917516 MZO917516:MZV917516 NJK917516:NJR917516 NTG917516:NTN917516 ODC917516:ODJ917516 OMY917516:ONF917516 OWU917516:OXB917516 PGQ917516:PGX917516 PQM917516:PQT917516 QAI917516:QAP917516 QKE917516:QKL917516 QUA917516:QUH917516 RDW917516:RED917516 RNS917516:RNZ917516 RXO917516:RXV917516 SHK917516:SHR917516 SRG917516:SRN917516 TBC917516:TBJ917516 TKY917516:TLF917516 TUU917516:TVB917516 UEQ917516:UEX917516 UOM917516:UOT917516 UYI917516:UYP917516 VIE917516:VIL917516 VSA917516:VSH917516 WBW917516:WCD917516 WLS917516:WLZ917516 WVO917516:WVV917516 G983052:N983052 JC983052:JJ983052 SY983052:TF983052 ACU983052:ADB983052 AMQ983052:AMX983052 AWM983052:AWT983052 BGI983052:BGP983052 BQE983052:BQL983052 CAA983052:CAH983052 CJW983052:CKD983052 CTS983052:CTZ983052 DDO983052:DDV983052 DNK983052:DNR983052 DXG983052:DXN983052 EHC983052:EHJ983052 EQY983052:ERF983052 FAU983052:FBB983052 FKQ983052:FKX983052 FUM983052:FUT983052 GEI983052:GEP983052 GOE983052:GOL983052 GYA983052:GYH983052 HHW983052:HID983052 HRS983052:HRZ983052 IBO983052:IBV983052 ILK983052:ILR983052 IVG983052:IVN983052 JFC983052:JFJ983052 JOY983052:JPF983052 JYU983052:JZB983052 KIQ983052:KIX983052 KSM983052:KST983052 LCI983052:LCP983052 LME983052:LML983052 LWA983052:LWH983052 MFW983052:MGD983052 MPS983052:MPZ983052 MZO983052:MZV983052 NJK983052:NJR983052 NTG983052:NTN983052 ODC983052:ODJ983052 OMY983052:ONF983052 OWU983052:OXB983052 PGQ983052:PGX983052 PQM983052:PQT983052 QAI983052:QAP983052 QKE983052:QKL983052 QUA983052:QUH983052 RDW983052:RED983052 RNS983052:RNZ983052 RXO983052:RXV983052 SHK983052:SHR983052 SRG983052:SRN983052 TBC983052:TBJ983052 TKY983052:TLF983052 TUU983052:TVB983052 UEQ983052:UEX983052 UOM983052:UOT983052 UYI983052:UYP983052 VIE983052:VIL983052 VSA983052:VSH983052 WBW983052:WCD983052 WLS983052:WLZ983052 WVO983052:WVV983052" xr:uid="{00000000-0002-0000-0100-000000000000}">
      <formula1>"有り,無し"</formula1>
    </dataValidation>
    <dataValidation type="list" allowBlank="1" showInputMessage="1" showErrorMessage="1" sqref="G304:N304 JC304:JJ304 SY304:TF304 ACU304:ADB304 AMQ304:AMX304 AWM304:AWT304 BGI304:BGP304 BQE304:BQL304 CAA304:CAH304 CJW304:CKD304 CTS304:CTZ304 DDO304:DDV304 DNK304:DNR304 DXG304:DXN304 EHC304:EHJ304 EQY304:ERF304 FAU304:FBB304 FKQ304:FKX304 FUM304:FUT304 GEI304:GEP304 GOE304:GOL304 GYA304:GYH304 HHW304:HID304 HRS304:HRZ304 IBO304:IBV304 ILK304:ILR304 IVG304:IVN304 JFC304:JFJ304 JOY304:JPF304 JYU304:JZB304 KIQ304:KIX304 KSM304:KST304 LCI304:LCP304 LME304:LML304 LWA304:LWH304 MFW304:MGD304 MPS304:MPZ304 MZO304:MZV304 NJK304:NJR304 NTG304:NTN304 ODC304:ODJ304 OMY304:ONF304 OWU304:OXB304 PGQ304:PGX304 PQM304:PQT304 QAI304:QAP304 QKE304:QKL304 QUA304:QUH304 RDW304:RED304 RNS304:RNZ304 RXO304:RXV304 SHK304:SHR304 SRG304:SRN304 TBC304:TBJ304 TKY304:TLF304 TUU304:TVB304 UEQ304:UEX304 UOM304:UOT304 UYI304:UYP304 VIE304:VIL304 VSA304:VSH304 WBW304:WCD304 WLS304:WLZ304 WVO304:WVV304 G65840:N65840 JC65840:JJ65840 SY65840:TF65840 ACU65840:ADB65840 AMQ65840:AMX65840 AWM65840:AWT65840 BGI65840:BGP65840 BQE65840:BQL65840 CAA65840:CAH65840 CJW65840:CKD65840 CTS65840:CTZ65840 DDO65840:DDV65840 DNK65840:DNR65840 DXG65840:DXN65840 EHC65840:EHJ65840 EQY65840:ERF65840 FAU65840:FBB65840 FKQ65840:FKX65840 FUM65840:FUT65840 GEI65840:GEP65840 GOE65840:GOL65840 GYA65840:GYH65840 HHW65840:HID65840 HRS65840:HRZ65840 IBO65840:IBV65840 ILK65840:ILR65840 IVG65840:IVN65840 JFC65840:JFJ65840 JOY65840:JPF65840 JYU65840:JZB65840 KIQ65840:KIX65840 KSM65840:KST65840 LCI65840:LCP65840 LME65840:LML65840 LWA65840:LWH65840 MFW65840:MGD65840 MPS65840:MPZ65840 MZO65840:MZV65840 NJK65840:NJR65840 NTG65840:NTN65840 ODC65840:ODJ65840 OMY65840:ONF65840 OWU65840:OXB65840 PGQ65840:PGX65840 PQM65840:PQT65840 QAI65840:QAP65840 QKE65840:QKL65840 QUA65840:QUH65840 RDW65840:RED65840 RNS65840:RNZ65840 RXO65840:RXV65840 SHK65840:SHR65840 SRG65840:SRN65840 TBC65840:TBJ65840 TKY65840:TLF65840 TUU65840:TVB65840 UEQ65840:UEX65840 UOM65840:UOT65840 UYI65840:UYP65840 VIE65840:VIL65840 VSA65840:VSH65840 WBW65840:WCD65840 WLS65840:WLZ65840 WVO65840:WVV65840 G131376:N131376 JC131376:JJ131376 SY131376:TF131376 ACU131376:ADB131376 AMQ131376:AMX131376 AWM131376:AWT131376 BGI131376:BGP131376 BQE131376:BQL131376 CAA131376:CAH131376 CJW131376:CKD131376 CTS131376:CTZ131376 DDO131376:DDV131376 DNK131376:DNR131376 DXG131376:DXN131376 EHC131376:EHJ131376 EQY131376:ERF131376 FAU131376:FBB131376 FKQ131376:FKX131376 FUM131376:FUT131376 GEI131376:GEP131376 GOE131376:GOL131376 GYA131376:GYH131376 HHW131376:HID131376 HRS131376:HRZ131376 IBO131376:IBV131376 ILK131376:ILR131376 IVG131376:IVN131376 JFC131376:JFJ131376 JOY131376:JPF131376 JYU131376:JZB131376 KIQ131376:KIX131376 KSM131376:KST131376 LCI131376:LCP131376 LME131376:LML131376 LWA131376:LWH131376 MFW131376:MGD131376 MPS131376:MPZ131376 MZO131376:MZV131376 NJK131376:NJR131376 NTG131376:NTN131376 ODC131376:ODJ131376 OMY131376:ONF131376 OWU131376:OXB131376 PGQ131376:PGX131376 PQM131376:PQT131376 QAI131376:QAP131376 QKE131376:QKL131376 QUA131376:QUH131376 RDW131376:RED131376 RNS131376:RNZ131376 RXO131376:RXV131376 SHK131376:SHR131376 SRG131376:SRN131376 TBC131376:TBJ131376 TKY131376:TLF131376 TUU131376:TVB131376 UEQ131376:UEX131376 UOM131376:UOT131376 UYI131376:UYP131376 VIE131376:VIL131376 VSA131376:VSH131376 WBW131376:WCD131376 WLS131376:WLZ131376 WVO131376:WVV131376 G196912:N196912 JC196912:JJ196912 SY196912:TF196912 ACU196912:ADB196912 AMQ196912:AMX196912 AWM196912:AWT196912 BGI196912:BGP196912 BQE196912:BQL196912 CAA196912:CAH196912 CJW196912:CKD196912 CTS196912:CTZ196912 DDO196912:DDV196912 DNK196912:DNR196912 DXG196912:DXN196912 EHC196912:EHJ196912 EQY196912:ERF196912 FAU196912:FBB196912 FKQ196912:FKX196912 FUM196912:FUT196912 GEI196912:GEP196912 GOE196912:GOL196912 GYA196912:GYH196912 HHW196912:HID196912 HRS196912:HRZ196912 IBO196912:IBV196912 ILK196912:ILR196912 IVG196912:IVN196912 JFC196912:JFJ196912 JOY196912:JPF196912 JYU196912:JZB196912 KIQ196912:KIX196912 KSM196912:KST196912 LCI196912:LCP196912 LME196912:LML196912 LWA196912:LWH196912 MFW196912:MGD196912 MPS196912:MPZ196912 MZO196912:MZV196912 NJK196912:NJR196912 NTG196912:NTN196912 ODC196912:ODJ196912 OMY196912:ONF196912 OWU196912:OXB196912 PGQ196912:PGX196912 PQM196912:PQT196912 QAI196912:QAP196912 QKE196912:QKL196912 QUA196912:QUH196912 RDW196912:RED196912 RNS196912:RNZ196912 RXO196912:RXV196912 SHK196912:SHR196912 SRG196912:SRN196912 TBC196912:TBJ196912 TKY196912:TLF196912 TUU196912:TVB196912 UEQ196912:UEX196912 UOM196912:UOT196912 UYI196912:UYP196912 VIE196912:VIL196912 VSA196912:VSH196912 WBW196912:WCD196912 WLS196912:WLZ196912 WVO196912:WVV196912 G262448:N262448 JC262448:JJ262448 SY262448:TF262448 ACU262448:ADB262448 AMQ262448:AMX262448 AWM262448:AWT262448 BGI262448:BGP262448 BQE262448:BQL262448 CAA262448:CAH262448 CJW262448:CKD262448 CTS262448:CTZ262448 DDO262448:DDV262448 DNK262448:DNR262448 DXG262448:DXN262448 EHC262448:EHJ262448 EQY262448:ERF262448 FAU262448:FBB262448 FKQ262448:FKX262448 FUM262448:FUT262448 GEI262448:GEP262448 GOE262448:GOL262448 GYA262448:GYH262448 HHW262448:HID262448 HRS262448:HRZ262448 IBO262448:IBV262448 ILK262448:ILR262448 IVG262448:IVN262448 JFC262448:JFJ262448 JOY262448:JPF262448 JYU262448:JZB262448 KIQ262448:KIX262448 KSM262448:KST262448 LCI262448:LCP262448 LME262448:LML262448 LWA262448:LWH262448 MFW262448:MGD262448 MPS262448:MPZ262448 MZO262448:MZV262448 NJK262448:NJR262448 NTG262448:NTN262448 ODC262448:ODJ262448 OMY262448:ONF262448 OWU262448:OXB262448 PGQ262448:PGX262448 PQM262448:PQT262448 QAI262448:QAP262448 QKE262448:QKL262448 QUA262448:QUH262448 RDW262448:RED262448 RNS262448:RNZ262448 RXO262448:RXV262448 SHK262448:SHR262448 SRG262448:SRN262448 TBC262448:TBJ262448 TKY262448:TLF262448 TUU262448:TVB262448 UEQ262448:UEX262448 UOM262448:UOT262448 UYI262448:UYP262448 VIE262448:VIL262448 VSA262448:VSH262448 WBW262448:WCD262448 WLS262448:WLZ262448 WVO262448:WVV262448 G327984:N327984 JC327984:JJ327984 SY327984:TF327984 ACU327984:ADB327984 AMQ327984:AMX327984 AWM327984:AWT327984 BGI327984:BGP327984 BQE327984:BQL327984 CAA327984:CAH327984 CJW327984:CKD327984 CTS327984:CTZ327984 DDO327984:DDV327984 DNK327984:DNR327984 DXG327984:DXN327984 EHC327984:EHJ327984 EQY327984:ERF327984 FAU327984:FBB327984 FKQ327984:FKX327984 FUM327984:FUT327984 GEI327984:GEP327984 GOE327984:GOL327984 GYA327984:GYH327984 HHW327984:HID327984 HRS327984:HRZ327984 IBO327984:IBV327984 ILK327984:ILR327984 IVG327984:IVN327984 JFC327984:JFJ327984 JOY327984:JPF327984 JYU327984:JZB327984 KIQ327984:KIX327984 KSM327984:KST327984 LCI327984:LCP327984 LME327984:LML327984 LWA327984:LWH327984 MFW327984:MGD327984 MPS327984:MPZ327984 MZO327984:MZV327984 NJK327984:NJR327984 NTG327984:NTN327984 ODC327984:ODJ327984 OMY327984:ONF327984 OWU327984:OXB327984 PGQ327984:PGX327984 PQM327984:PQT327984 QAI327984:QAP327984 QKE327984:QKL327984 QUA327984:QUH327984 RDW327984:RED327984 RNS327984:RNZ327984 RXO327984:RXV327984 SHK327984:SHR327984 SRG327984:SRN327984 TBC327984:TBJ327984 TKY327984:TLF327984 TUU327984:TVB327984 UEQ327984:UEX327984 UOM327984:UOT327984 UYI327984:UYP327984 VIE327984:VIL327984 VSA327984:VSH327984 WBW327984:WCD327984 WLS327984:WLZ327984 WVO327984:WVV327984 G393520:N393520 JC393520:JJ393520 SY393520:TF393520 ACU393520:ADB393520 AMQ393520:AMX393520 AWM393520:AWT393520 BGI393520:BGP393520 BQE393520:BQL393520 CAA393520:CAH393520 CJW393520:CKD393520 CTS393520:CTZ393520 DDO393520:DDV393520 DNK393520:DNR393520 DXG393520:DXN393520 EHC393520:EHJ393520 EQY393520:ERF393520 FAU393520:FBB393520 FKQ393520:FKX393520 FUM393520:FUT393520 GEI393520:GEP393520 GOE393520:GOL393520 GYA393520:GYH393520 HHW393520:HID393520 HRS393520:HRZ393520 IBO393520:IBV393520 ILK393520:ILR393520 IVG393520:IVN393520 JFC393520:JFJ393520 JOY393520:JPF393520 JYU393520:JZB393520 KIQ393520:KIX393520 KSM393520:KST393520 LCI393520:LCP393520 LME393520:LML393520 LWA393520:LWH393520 MFW393520:MGD393520 MPS393520:MPZ393520 MZO393520:MZV393520 NJK393520:NJR393520 NTG393520:NTN393520 ODC393520:ODJ393520 OMY393520:ONF393520 OWU393520:OXB393520 PGQ393520:PGX393520 PQM393520:PQT393520 QAI393520:QAP393520 QKE393520:QKL393520 QUA393520:QUH393520 RDW393520:RED393520 RNS393520:RNZ393520 RXO393520:RXV393520 SHK393520:SHR393520 SRG393520:SRN393520 TBC393520:TBJ393520 TKY393520:TLF393520 TUU393520:TVB393520 UEQ393520:UEX393520 UOM393520:UOT393520 UYI393520:UYP393520 VIE393520:VIL393520 VSA393520:VSH393520 WBW393520:WCD393520 WLS393520:WLZ393520 WVO393520:WVV393520 G459056:N459056 JC459056:JJ459056 SY459056:TF459056 ACU459056:ADB459056 AMQ459056:AMX459056 AWM459056:AWT459056 BGI459056:BGP459056 BQE459056:BQL459056 CAA459056:CAH459056 CJW459056:CKD459056 CTS459056:CTZ459056 DDO459056:DDV459056 DNK459056:DNR459056 DXG459056:DXN459056 EHC459056:EHJ459056 EQY459056:ERF459056 FAU459056:FBB459056 FKQ459056:FKX459056 FUM459056:FUT459056 GEI459056:GEP459056 GOE459056:GOL459056 GYA459056:GYH459056 HHW459056:HID459056 HRS459056:HRZ459056 IBO459056:IBV459056 ILK459056:ILR459056 IVG459056:IVN459056 JFC459056:JFJ459056 JOY459056:JPF459056 JYU459056:JZB459056 KIQ459056:KIX459056 KSM459056:KST459056 LCI459056:LCP459056 LME459056:LML459056 LWA459056:LWH459056 MFW459056:MGD459056 MPS459056:MPZ459056 MZO459056:MZV459056 NJK459056:NJR459056 NTG459056:NTN459056 ODC459056:ODJ459056 OMY459056:ONF459056 OWU459056:OXB459056 PGQ459056:PGX459056 PQM459056:PQT459056 QAI459056:QAP459056 QKE459056:QKL459056 QUA459056:QUH459056 RDW459056:RED459056 RNS459056:RNZ459056 RXO459056:RXV459056 SHK459056:SHR459056 SRG459056:SRN459056 TBC459056:TBJ459056 TKY459056:TLF459056 TUU459056:TVB459056 UEQ459056:UEX459056 UOM459056:UOT459056 UYI459056:UYP459056 VIE459056:VIL459056 VSA459056:VSH459056 WBW459056:WCD459056 WLS459056:WLZ459056 WVO459056:WVV459056 G524592:N524592 JC524592:JJ524592 SY524592:TF524592 ACU524592:ADB524592 AMQ524592:AMX524592 AWM524592:AWT524592 BGI524592:BGP524592 BQE524592:BQL524592 CAA524592:CAH524592 CJW524592:CKD524592 CTS524592:CTZ524592 DDO524592:DDV524592 DNK524592:DNR524592 DXG524592:DXN524592 EHC524592:EHJ524592 EQY524592:ERF524592 FAU524592:FBB524592 FKQ524592:FKX524592 FUM524592:FUT524592 GEI524592:GEP524592 GOE524592:GOL524592 GYA524592:GYH524592 HHW524592:HID524592 HRS524592:HRZ524592 IBO524592:IBV524592 ILK524592:ILR524592 IVG524592:IVN524592 JFC524592:JFJ524592 JOY524592:JPF524592 JYU524592:JZB524592 KIQ524592:KIX524592 KSM524592:KST524592 LCI524592:LCP524592 LME524592:LML524592 LWA524592:LWH524592 MFW524592:MGD524592 MPS524592:MPZ524592 MZO524592:MZV524592 NJK524592:NJR524592 NTG524592:NTN524592 ODC524592:ODJ524592 OMY524592:ONF524592 OWU524592:OXB524592 PGQ524592:PGX524592 PQM524592:PQT524592 QAI524592:QAP524592 QKE524592:QKL524592 QUA524592:QUH524592 RDW524592:RED524592 RNS524592:RNZ524592 RXO524592:RXV524592 SHK524592:SHR524592 SRG524592:SRN524592 TBC524592:TBJ524592 TKY524592:TLF524592 TUU524592:TVB524592 UEQ524592:UEX524592 UOM524592:UOT524592 UYI524592:UYP524592 VIE524592:VIL524592 VSA524592:VSH524592 WBW524592:WCD524592 WLS524592:WLZ524592 WVO524592:WVV524592 G590128:N590128 JC590128:JJ590128 SY590128:TF590128 ACU590128:ADB590128 AMQ590128:AMX590128 AWM590128:AWT590128 BGI590128:BGP590128 BQE590128:BQL590128 CAA590128:CAH590128 CJW590128:CKD590128 CTS590128:CTZ590128 DDO590128:DDV590128 DNK590128:DNR590128 DXG590128:DXN590128 EHC590128:EHJ590128 EQY590128:ERF590128 FAU590128:FBB590128 FKQ590128:FKX590128 FUM590128:FUT590128 GEI590128:GEP590128 GOE590128:GOL590128 GYA590128:GYH590128 HHW590128:HID590128 HRS590128:HRZ590128 IBO590128:IBV590128 ILK590128:ILR590128 IVG590128:IVN590128 JFC590128:JFJ590128 JOY590128:JPF590128 JYU590128:JZB590128 KIQ590128:KIX590128 KSM590128:KST590128 LCI590128:LCP590128 LME590128:LML590128 LWA590128:LWH590128 MFW590128:MGD590128 MPS590128:MPZ590128 MZO590128:MZV590128 NJK590128:NJR590128 NTG590128:NTN590128 ODC590128:ODJ590128 OMY590128:ONF590128 OWU590128:OXB590128 PGQ590128:PGX590128 PQM590128:PQT590128 QAI590128:QAP590128 QKE590128:QKL590128 QUA590128:QUH590128 RDW590128:RED590128 RNS590128:RNZ590128 RXO590128:RXV590128 SHK590128:SHR590128 SRG590128:SRN590128 TBC590128:TBJ590128 TKY590128:TLF590128 TUU590128:TVB590128 UEQ590128:UEX590128 UOM590128:UOT590128 UYI590128:UYP590128 VIE590128:VIL590128 VSA590128:VSH590128 WBW590128:WCD590128 WLS590128:WLZ590128 WVO590128:WVV590128 G655664:N655664 JC655664:JJ655664 SY655664:TF655664 ACU655664:ADB655664 AMQ655664:AMX655664 AWM655664:AWT655664 BGI655664:BGP655664 BQE655664:BQL655664 CAA655664:CAH655664 CJW655664:CKD655664 CTS655664:CTZ655664 DDO655664:DDV655664 DNK655664:DNR655664 DXG655664:DXN655664 EHC655664:EHJ655664 EQY655664:ERF655664 FAU655664:FBB655664 FKQ655664:FKX655664 FUM655664:FUT655664 GEI655664:GEP655664 GOE655664:GOL655664 GYA655664:GYH655664 HHW655664:HID655664 HRS655664:HRZ655664 IBO655664:IBV655664 ILK655664:ILR655664 IVG655664:IVN655664 JFC655664:JFJ655664 JOY655664:JPF655664 JYU655664:JZB655664 KIQ655664:KIX655664 KSM655664:KST655664 LCI655664:LCP655664 LME655664:LML655664 LWA655664:LWH655664 MFW655664:MGD655664 MPS655664:MPZ655664 MZO655664:MZV655664 NJK655664:NJR655664 NTG655664:NTN655664 ODC655664:ODJ655664 OMY655664:ONF655664 OWU655664:OXB655664 PGQ655664:PGX655664 PQM655664:PQT655664 QAI655664:QAP655664 QKE655664:QKL655664 QUA655664:QUH655664 RDW655664:RED655664 RNS655664:RNZ655664 RXO655664:RXV655664 SHK655664:SHR655664 SRG655664:SRN655664 TBC655664:TBJ655664 TKY655664:TLF655664 TUU655664:TVB655664 UEQ655664:UEX655664 UOM655664:UOT655664 UYI655664:UYP655664 VIE655664:VIL655664 VSA655664:VSH655664 WBW655664:WCD655664 WLS655664:WLZ655664 WVO655664:WVV655664 G721200:N721200 JC721200:JJ721200 SY721200:TF721200 ACU721200:ADB721200 AMQ721200:AMX721200 AWM721200:AWT721200 BGI721200:BGP721200 BQE721200:BQL721200 CAA721200:CAH721200 CJW721200:CKD721200 CTS721200:CTZ721200 DDO721200:DDV721200 DNK721200:DNR721200 DXG721200:DXN721200 EHC721200:EHJ721200 EQY721200:ERF721200 FAU721200:FBB721200 FKQ721200:FKX721200 FUM721200:FUT721200 GEI721200:GEP721200 GOE721200:GOL721200 GYA721200:GYH721200 HHW721200:HID721200 HRS721200:HRZ721200 IBO721200:IBV721200 ILK721200:ILR721200 IVG721200:IVN721200 JFC721200:JFJ721200 JOY721200:JPF721200 JYU721200:JZB721200 KIQ721200:KIX721200 KSM721200:KST721200 LCI721200:LCP721200 LME721200:LML721200 LWA721200:LWH721200 MFW721200:MGD721200 MPS721200:MPZ721200 MZO721200:MZV721200 NJK721200:NJR721200 NTG721200:NTN721200 ODC721200:ODJ721200 OMY721200:ONF721200 OWU721200:OXB721200 PGQ721200:PGX721200 PQM721200:PQT721200 QAI721200:QAP721200 QKE721200:QKL721200 QUA721200:QUH721200 RDW721200:RED721200 RNS721200:RNZ721200 RXO721200:RXV721200 SHK721200:SHR721200 SRG721200:SRN721200 TBC721200:TBJ721200 TKY721200:TLF721200 TUU721200:TVB721200 UEQ721200:UEX721200 UOM721200:UOT721200 UYI721200:UYP721200 VIE721200:VIL721200 VSA721200:VSH721200 WBW721200:WCD721200 WLS721200:WLZ721200 WVO721200:WVV721200 G786736:N786736 JC786736:JJ786736 SY786736:TF786736 ACU786736:ADB786736 AMQ786736:AMX786736 AWM786736:AWT786736 BGI786736:BGP786736 BQE786736:BQL786736 CAA786736:CAH786736 CJW786736:CKD786736 CTS786736:CTZ786736 DDO786736:DDV786736 DNK786736:DNR786736 DXG786736:DXN786736 EHC786736:EHJ786736 EQY786736:ERF786736 FAU786736:FBB786736 FKQ786736:FKX786736 FUM786736:FUT786736 GEI786736:GEP786736 GOE786736:GOL786736 GYA786736:GYH786736 HHW786736:HID786736 HRS786736:HRZ786736 IBO786736:IBV786736 ILK786736:ILR786736 IVG786736:IVN786736 JFC786736:JFJ786736 JOY786736:JPF786736 JYU786736:JZB786736 KIQ786736:KIX786736 KSM786736:KST786736 LCI786736:LCP786736 LME786736:LML786736 LWA786736:LWH786736 MFW786736:MGD786736 MPS786736:MPZ786736 MZO786736:MZV786736 NJK786736:NJR786736 NTG786736:NTN786736 ODC786736:ODJ786736 OMY786736:ONF786736 OWU786736:OXB786736 PGQ786736:PGX786736 PQM786736:PQT786736 QAI786736:QAP786736 QKE786736:QKL786736 QUA786736:QUH786736 RDW786736:RED786736 RNS786736:RNZ786736 RXO786736:RXV786736 SHK786736:SHR786736 SRG786736:SRN786736 TBC786736:TBJ786736 TKY786736:TLF786736 TUU786736:TVB786736 UEQ786736:UEX786736 UOM786736:UOT786736 UYI786736:UYP786736 VIE786736:VIL786736 VSA786736:VSH786736 WBW786736:WCD786736 WLS786736:WLZ786736 WVO786736:WVV786736 G852272:N852272 JC852272:JJ852272 SY852272:TF852272 ACU852272:ADB852272 AMQ852272:AMX852272 AWM852272:AWT852272 BGI852272:BGP852272 BQE852272:BQL852272 CAA852272:CAH852272 CJW852272:CKD852272 CTS852272:CTZ852272 DDO852272:DDV852272 DNK852272:DNR852272 DXG852272:DXN852272 EHC852272:EHJ852272 EQY852272:ERF852272 FAU852272:FBB852272 FKQ852272:FKX852272 FUM852272:FUT852272 GEI852272:GEP852272 GOE852272:GOL852272 GYA852272:GYH852272 HHW852272:HID852272 HRS852272:HRZ852272 IBO852272:IBV852272 ILK852272:ILR852272 IVG852272:IVN852272 JFC852272:JFJ852272 JOY852272:JPF852272 JYU852272:JZB852272 KIQ852272:KIX852272 KSM852272:KST852272 LCI852272:LCP852272 LME852272:LML852272 LWA852272:LWH852272 MFW852272:MGD852272 MPS852272:MPZ852272 MZO852272:MZV852272 NJK852272:NJR852272 NTG852272:NTN852272 ODC852272:ODJ852272 OMY852272:ONF852272 OWU852272:OXB852272 PGQ852272:PGX852272 PQM852272:PQT852272 QAI852272:QAP852272 QKE852272:QKL852272 QUA852272:QUH852272 RDW852272:RED852272 RNS852272:RNZ852272 RXO852272:RXV852272 SHK852272:SHR852272 SRG852272:SRN852272 TBC852272:TBJ852272 TKY852272:TLF852272 TUU852272:TVB852272 UEQ852272:UEX852272 UOM852272:UOT852272 UYI852272:UYP852272 VIE852272:VIL852272 VSA852272:VSH852272 WBW852272:WCD852272 WLS852272:WLZ852272 WVO852272:WVV852272 G917808:N917808 JC917808:JJ917808 SY917808:TF917808 ACU917808:ADB917808 AMQ917808:AMX917808 AWM917808:AWT917808 BGI917808:BGP917808 BQE917808:BQL917808 CAA917808:CAH917808 CJW917808:CKD917808 CTS917808:CTZ917808 DDO917808:DDV917808 DNK917808:DNR917808 DXG917808:DXN917808 EHC917808:EHJ917808 EQY917808:ERF917808 FAU917808:FBB917808 FKQ917808:FKX917808 FUM917808:FUT917808 GEI917808:GEP917808 GOE917808:GOL917808 GYA917808:GYH917808 HHW917808:HID917808 HRS917808:HRZ917808 IBO917808:IBV917808 ILK917808:ILR917808 IVG917808:IVN917808 JFC917808:JFJ917808 JOY917808:JPF917808 JYU917808:JZB917808 KIQ917808:KIX917808 KSM917808:KST917808 LCI917808:LCP917808 LME917808:LML917808 LWA917808:LWH917808 MFW917808:MGD917808 MPS917808:MPZ917808 MZO917808:MZV917808 NJK917808:NJR917808 NTG917808:NTN917808 ODC917808:ODJ917808 OMY917808:ONF917808 OWU917808:OXB917808 PGQ917808:PGX917808 PQM917808:PQT917808 QAI917808:QAP917808 QKE917808:QKL917808 QUA917808:QUH917808 RDW917808:RED917808 RNS917808:RNZ917808 RXO917808:RXV917808 SHK917808:SHR917808 SRG917808:SRN917808 TBC917808:TBJ917808 TKY917808:TLF917808 TUU917808:TVB917808 UEQ917808:UEX917808 UOM917808:UOT917808 UYI917808:UYP917808 VIE917808:VIL917808 VSA917808:VSH917808 WBW917808:WCD917808 WLS917808:WLZ917808 WVO917808:WVV917808 G983344:N983344 JC983344:JJ983344 SY983344:TF983344 ACU983344:ADB983344 AMQ983344:AMX983344 AWM983344:AWT983344 BGI983344:BGP983344 BQE983344:BQL983344 CAA983344:CAH983344 CJW983344:CKD983344 CTS983344:CTZ983344 DDO983344:DDV983344 DNK983344:DNR983344 DXG983344:DXN983344 EHC983344:EHJ983344 EQY983344:ERF983344 FAU983344:FBB983344 FKQ983344:FKX983344 FUM983344:FUT983344 GEI983344:GEP983344 GOE983344:GOL983344 GYA983344:GYH983344 HHW983344:HID983344 HRS983344:HRZ983344 IBO983344:IBV983344 ILK983344:ILR983344 IVG983344:IVN983344 JFC983344:JFJ983344 JOY983344:JPF983344 JYU983344:JZB983344 KIQ983344:KIX983344 KSM983344:KST983344 LCI983344:LCP983344 LME983344:LML983344 LWA983344:LWH983344 MFW983344:MGD983344 MPS983344:MPZ983344 MZO983344:MZV983344 NJK983344:NJR983344 NTG983344:NTN983344 ODC983344:ODJ983344 OMY983344:ONF983344 OWU983344:OXB983344 PGQ983344:PGX983344 PQM983344:PQT983344 QAI983344:QAP983344 QKE983344:QKL983344 QUA983344:QUH983344 RDW983344:RED983344 RNS983344:RNZ983344 RXO983344:RXV983344 SHK983344:SHR983344 SRG983344:SRN983344 TBC983344:TBJ983344 TKY983344:TLF983344 TUU983344:TVB983344 UEQ983344:UEX983344 UOM983344:UOT983344 UYI983344:UYP983344 VIE983344:VIL983344 VSA983344:VSH983344 WBW983344:WCD983344 WLS983344:WLZ983344 WVO983344:WVV983344 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 G10:N10 JC10:JJ10 SY10:TF10 ACU10:ADB10 AMQ10:AMX10 AWM10:AWT10 BGI10:BGP10 BQE10:BQL10 CAA10:CAH10 CJW10:CKD10 CTS10:CTZ10 DDO10:DDV10 DNK10:DNR10 DXG10:DXN10 EHC10:EHJ10 EQY10:ERF10 FAU10:FBB10 FKQ10:FKX10 FUM10:FUT10 GEI10:GEP10 GOE10:GOL10 GYA10:GYH10 HHW10:HID10 HRS10:HRZ10 IBO10:IBV10 ILK10:ILR10 IVG10:IVN10 JFC10:JFJ10 JOY10:JPF10 JYU10:JZB10 KIQ10:KIX10 KSM10:KST10 LCI10:LCP10 LME10:LML10 LWA10:LWH10 MFW10:MGD10 MPS10:MPZ10 MZO10:MZV10 NJK10:NJR10 NTG10:NTN10 ODC10:ODJ10 OMY10:ONF10 OWU10:OXB10 PGQ10:PGX10 PQM10:PQT10 QAI10:QAP10 QKE10:QKL10 QUA10:QUH10 RDW10:RED10 RNS10:RNZ10 RXO10:RXV10 SHK10:SHR10 SRG10:SRN10 TBC10:TBJ10 TKY10:TLF10 TUU10:TVB10 UEQ10:UEX10 UOM10:UOT10 UYI10:UYP10 VIE10:VIL10 VSA10:VSH10 WBW10:WCD10 WLS10:WLZ10 WVO10:WVV10 G65546:N65546 JC65546:JJ65546 SY65546:TF65546 ACU65546:ADB65546 AMQ65546:AMX65546 AWM65546:AWT65546 BGI65546:BGP65546 BQE65546:BQL65546 CAA65546:CAH65546 CJW65546:CKD65546 CTS65546:CTZ65546 DDO65546:DDV65546 DNK65546:DNR65546 DXG65546:DXN65546 EHC65546:EHJ65546 EQY65546:ERF65546 FAU65546:FBB65546 FKQ65546:FKX65546 FUM65546:FUT65546 GEI65546:GEP65546 GOE65546:GOL65546 GYA65546:GYH65546 HHW65546:HID65546 HRS65546:HRZ65546 IBO65546:IBV65546 ILK65546:ILR65546 IVG65546:IVN65546 JFC65546:JFJ65546 JOY65546:JPF65546 JYU65546:JZB65546 KIQ65546:KIX65546 KSM65546:KST65546 LCI65546:LCP65546 LME65546:LML65546 LWA65546:LWH65546 MFW65546:MGD65546 MPS65546:MPZ65546 MZO65546:MZV65546 NJK65546:NJR65546 NTG65546:NTN65546 ODC65546:ODJ65546 OMY65546:ONF65546 OWU65546:OXB65546 PGQ65546:PGX65546 PQM65546:PQT65546 QAI65546:QAP65546 QKE65546:QKL65546 QUA65546:QUH65546 RDW65546:RED65546 RNS65546:RNZ65546 RXO65546:RXV65546 SHK65546:SHR65546 SRG65546:SRN65546 TBC65546:TBJ65546 TKY65546:TLF65546 TUU65546:TVB65546 UEQ65546:UEX65546 UOM65546:UOT65546 UYI65546:UYP65546 VIE65546:VIL65546 VSA65546:VSH65546 WBW65546:WCD65546 WLS65546:WLZ65546 WVO65546:WVV65546 G131082:N131082 JC131082:JJ131082 SY131082:TF131082 ACU131082:ADB131082 AMQ131082:AMX131082 AWM131082:AWT131082 BGI131082:BGP131082 BQE131082:BQL131082 CAA131082:CAH131082 CJW131082:CKD131082 CTS131082:CTZ131082 DDO131082:DDV131082 DNK131082:DNR131082 DXG131082:DXN131082 EHC131082:EHJ131082 EQY131082:ERF131082 FAU131082:FBB131082 FKQ131082:FKX131082 FUM131082:FUT131082 GEI131082:GEP131082 GOE131082:GOL131082 GYA131082:GYH131082 HHW131082:HID131082 HRS131082:HRZ131082 IBO131082:IBV131082 ILK131082:ILR131082 IVG131082:IVN131082 JFC131082:JFJ131082 JOY131082:JPF131082 JYU131082:JZB131082 KIQ131082:KIX131082 KSM131082:KST131082 LCI131082:LCP131082 LME131082:LML131082 LWA131082:LWH131082 MFW131082:MGD131082 MPS131082:MPZ131082 MZO131082:MZV131082 NJK131082:NJR131082 NTG131082:NTN131082 ODC131082:ODJ131082 OMY131082:ONF131082 OWU131082:OXB131082 PGQ131082:PGX131082 PQM131082:PQT131082 QAI131082:QAP131082 QKE131082:QKL131082 QUA131082:QUH131082 RDW131082:RED131082 RNS131082:RNZ131082 RXO131082:RXV131082 SHK131082:SHR131082 SRG131082:SRN131082 TBC131082:TBJ131082 TKY131082:TLF131082 TUU131082:TVB131082 UEQ131082:UEX131082 UOM131082:UOT131082 UYI131082:UYP131082 VIE131082:VIL131082 VSA131082:VSH131082 WBW131082:WCD131082 WLS131082:WLZ131082 WVO131082:WVV131082 G196618:N196618 JC196618:JJ196618 SY196618:TF196618 ACU196618:ADB196618 AMQ196618:AMX196618 AWM196618:AWT196618 BGI196618:BGP196618 BQE196618:BQL196618 CAA196618:CAH196618 CJW196618:CKD196618 CTS196618:CTZ196618 DDO196618:DDV196618 DNK196618:DNR196618 DXG196618:DXN196618 EHC196618:EHJ196618 EQY196618:ERF196618 FAU196618:FBB196618 FKQ196618:FKX196618 FUM196618:FUT196618 GEI196618:GEP196618 GOE196618:GOL196618 GYA196618:GYH196618 HHW196618:HID196618 HRS196618:HRZ196618 IBO196618:IBV196618 ILK196618:ILR196618 IVG196618:IVN196618 JFC196618:JFJ196618 JOY196618:JPF196618 JYU196618:JZB196618 KIQ196618:KIX196618 KSM196618:KST196618 LCI196618:LCP196618 LME196618:LML196618 LWA196618:LWH196618 MFW196618:MGD196618 MPS196618:MPZ196618 MZO196618:MZV196618 NJK196618:NJR196618 NTG196618:NTN196618 ODC196618:ODJ196618 OMY196618:ONF196618 OWU196618:OXB196618 PGQ196618:PGX196618 PQM196618:PQT196618 QAI196618:QAP196618 QKE196618:QKL196618 QUA196618:QUH196618 RDW196618:RED196618 RNS196618:RNZ196618 RXO196618:RXV196618 SHK196618:SHR196618 SRG196618:SRN196618 TBC196618:TBJ196618 TKY196618:TLF196618 TUU196618:TVB196618 UEQ196618:UEX196618 UOM196618:UOT196618 UYI196618:UYP196618 VIE196618:VIL196618 VSA196618:VSH196618 WBW196618:WCD196618 WLS196618:WLZ196618 WVO196618:WVV196618 G262154:N262154 JC262154:JJ262154 SY262154:TF262154 ACU262154:ADB262154 AMQ262154:AMX262154 AWM262154:AWT262154 BGI262154:BGP262154 BQE262154:BQL262154 CAA262154:CAH262154 CJW262154:CKD262154 CTS262154:CTZ262154 DDO262154:DDV262154 DNK262154:DNR262154 DXG262154:DXN262154 EHC262154:EHJ262154 EQY262154:ERF262154 FAU262154:FBB262154 FKQ262154:FKX262154 FUM262154:FUT262154 GEI262154:GEP262154 GOE262154:GOL262154 GYA262154:GYH262154 HHW262154:HID262154 HRS262154:HRZ262154 IBO262154:IBV262154 ILK262154:ILR262154 IVG262154:IVN262154 JFC262154:JFJ262154 JOY262154:JPF262154 JYU262154:JZB262154 KIQ262154:KIX262154 KSM262154:KST262154 LCI262154:LCP262154 LME262154:LML262154 LWA262154:LWH262154 MFW262154:MGD262154 MPS262154:MPZ262154 MZO262154:MZV262154 NJK262154:NJR262154 NTG262154:NTN262154 ODC262154:ODJ262154 OMY262154:ONF262154 OWU262154:OXB262154 PGQ262154:PGX262154 PQM262154:PQT262154 QAI262154:QAP262154 QKE262154:QKL262154 QUA262154:QUH262154 RDW262154:RED262154 RNS262154:RNZ262154 RXO262154:RXV262154 SHK262154:SHR262154 SRG262154:SRN262154 TBC262154:TBJ262154 TKY262154:TLF262154 TUU262154:TVB262154 UEQ262154:UEX262154 UOM262154:UOT262154 UYI262154:UYP262154 VIE262154:VIL262154 VSA262154:VSH262154 WBW262154:WCD262154 WLS262154:WLZ262154 WVO262154:WVV262154 G327690:N327690 JC327690:JJ327690 SY327690:TF327690 ACU327690:ADB327690 AMQ327690:AMX327690 AWM327690:AWT327690 BGI327690:BGP327690 BQE327690:BQL327690 CAA327690:CAH327690 CJW327690:CKD327690 CTS327690:CTZ327690 DDO327690:DDV327690 DNK327690:DNR327690 DXG327690:DXN327690 EHC327690:EHJ327690 EQY327690:ERF327690 FAU327690:FBB327690 FKQ327690:FKX327690 FUM327690:FUT327690 GEI327690:GEP327690 GOE327690:GOL327690 GYA327690:GYH327690 HHW327690:HID327690 HRS327690:HRZ327690 IBO327690:IBV327690 ILK327690:ILR327690 IVG327690:IVN327690 JFC327690:JFJ327690 JOY327690:JPF327690 JYU327690:JZB327690 KIQ327690:KIX327690 KSM327690:KST327690 LCI327690:LCP327690 LME327690:LML327690 LWA327690:LWH327690 MFW327690:MGD327690 MPS327690:MPZ327690 MZO327690:MZV327690 NJK327690:NJR327690 NTG327690:NTN327690 ODC327690:ODJ327690 OMY327690:ONF327690 OWU327690:OXB327690 PGQ327690:PGX327690 PQM327690:PQT327690 QAI327690:QAP327690 QKE327690:QKL327690 QUA327690:QUH327690 RDW327690:RED327690 RNS327690:RNZ327690 RXO327690:RXV327690 SHK327690:SHR327690 SRG327690:SRN327690 TBC327690:TBJ327690 TKY327690:TLF327690 TUU327690:TVB327690 UEQ327690:UEX327690 UOM327690:UOT327690 UYI327690:UYP327690 VIE327690:VIL327690 VSA327690:VSH327690 WBW327690:WCD327690 WLS327690:WLZ327690 WVO327690:WVV327690 G393226:N393226 JC393226:JJ393226 SY393226:TF393226 ACU393226:ADB393226 AMQ393226:AMX393226 AWM393226:AWT393226 BGI393226:BGP393226 BQE393226:BQL393226 CAA393226:CAH393226 CJW393226:CKD393226 CTS393226:CTZ393226 DDO393226:DDV393226 DNK393226:DNR393226 DXG393226:DXN393226 EHC393226:EHJ393226 EQY393226:ERF393226 FAU393226:FBB393226 FKQ393226:FKX393226 FUM393226:FUT393226 GEI393226:GEP393226 GOE393226:GOL393226 GYA393226:GYH393226 HHW393226:HID393226 HRS393226:HRZ393226 IBO393226:IBV393226 ILK393226:ILR393226 IVG393226:IVN393226 JFC393226:JFJ393226 JOY393226:JPF393226 JYU393226:JZB393226 KIQ393226:KIX393226 KSM393226:KST393226 LCI393226:LCP393226 LME393226:LML393226 LWA393226:LWH393226 MFW393226:MGD393226 MPS393226:MPZ393226 MZO393226:MZV393226 NJK393226:NJR393226 NTG393226:NTN393226 ODC393226:ODJ393226 OMY393226:ONF393226 OWU393226:OXB393226 PGQ393226:PGX393226 PQM393226:PQT393226 QAI393226:QAP393226 QKE393226:QKL393226 QUA393226:QUH393226 RDW393226:RED393226 RNS393226:RNZ393226 RXO393226:RXV393226 SHK393226:SHR393226 SRG393226:SRN393226 TBC393226:TBJ393226 TKY393226:TLF393226 TUU393226:TVB393226 UEQ393226:UEX393226 UOM393226:UOT393226 UYI393226:UYP393226 VIE393226:VIL393226 VSA393226:VSH393226 WBW393226:WCD393226 WLS393226:WLZ393226 WVO393226:WVV393226 G458762:N458762 JC458762:JJ458762 SY458762:TF458762 ACU458762:ADB458762 AMQ458762:AMX458762 AWM458762:AWT458762 BGI458762:BGP458762 BQE458762:BQL458762 CAA458762:CAH458762 CJW458762:CKD458762 CTS458762:CTZ458762 DDO458762:DDV458762 DNK458762:DNR458762 DXG458762:DXN458762 EHC458762:EHJ458762 EQY458762:ERF458762 FAU458762:FBB458762 FKQ458762:FKX458762 FUM458762:FUT458762 GEI458762:GEP458762 GOE458762:GOL458762 GYA458762:GYH458762 HHW458762:HID458762 HRS458762:HRZ458762 IBO458762:IBV458762 ILK458762:ILR458762 IVG458762:IVN458762 JFC458762:JFJ458762 JOY458762:JPF458762 JYU458762:JZB458762 KIQ458762:KIX458762 KSM458762:KST458762 LCI458762:LCP458762 LME458762:LML458762 LWA458762:LWH458762 MFW458762:MGD458762 MPS458762:MPZ458762 MZO458762:MZV458762 NJK458762:NJR458762 NTG458762:NTN458762 ODC458762:ODJ458762 OMY458762:ONF458762 OWU458762:OXB458762 PGQ458762:PGX458762 PQM458762:PQT458762 QAI458762:QAP458762 QKE458762:QKL458762 QUA458762:QUH458762 RDW458762:RED458762 RNS458762:RNZ458762 RXO458762:RXV458762 SHK458762:SHR458762 SRG458762:SRN458762 TBC458762:TBJ458762 TKY458762:TLF458762 TUU458762:TVB458762 UEQ458762:UEX458762 UOM458762:UOT458762 UYI458762:UYP458762 VIE458762:VIL458762 VSA458762:VSH458762 WBW458762:WCD458762 WLS458762:WLZ458762 WVO458762:WVV458762 G524298:N524298 JC524298:JJ524298 SY524298:TF524298 ACU524298:ADB524298 AMQ524298:AMX524298 AWM524298:AWT524298 BGI524298:BGP524298 BQE524298:BQL524298 CAA524298:CAH524298 CJW524298:CKD524298 CTS524298:CTZ524298 DDO524298:DDV524298 DNK524298:DNR524298 DXG524298:DXN524298 EHC524298:EHJ524298 EQY524298:ERF524298 FAU524298:FBB524298 FKQ524298:FKX524298 FUM524298:FUT524298 GEI524298:GEP524298 GOE524298:GOL524298 GYA524298:GYH524298 HHW524298:HID524298 HRS524298:HRZ524298 IBO524298:IBV524298 ILK524298:ILR524298 IVG524298:IVN524298 JFC524298:JFJ524298 JOY524298:JPF524298 JYU524298:JZB524298 KIQ524298:KIX524298 KSM524298:KST524298 LCI524298:LCP524298 LME524298:LML524298 LWA524298:LWH524298 MFW524298:MGD524298 MPS524298:MPZ524298 MZO524298:MZV524298 NJK524298:NJR524298 NTG524298:NTN524298 ODC524298:ODJ524298 OMY524298:ONF524298 OWU524298:OXB524298 PGQ524298:PGX524298 PQM524298:PQT524298 QAI524298:QAP524298 QKE524298:QKL524298 QUA524298:QUH524298 RDW524298:RED524298 RNS524298:RNZ524298 RXO524298:RXV524298 SHK524298:SHR524298 SRG524298:SRN524298 TBC524298:TBJ524298 TKY524298:TLF524298 TUU524298:TVB524298 UEQ524298:UEX524298 UOM524298:UOT524298 UYI524298:UYP524298 VIE524298:VIL524298 VSA524298:VSH524298 WBW524298:WCD524298 WLS524298:WLZ524298 WVO524298:WVV524298 G589834:N589834 JC589834:JJ589834 SY589834:TF589834 ACU589834:ADB589834 AMQ589834:AMX589834 AWM589834:AWT589834 BGI589834:BGP589834 BQE589834:BQL589834 CAA589834:CAH589834 CJW589834:CKD589834 CTS589834:CTZ589834 DDO589834:DDV589834 DNK589834:DNR589834 DXG589834:DXN589834 EHC589834:EHJ589834 EQY589834:ERF589834 FAU589834:FBB589834 FKQ589834:FKX589834 FUM589834:FUT589834 GEI589834:GEP589834 GOE589834:GOL589834 GYA589834:GYH589834 HHW589834:HID589834 HRS589834:HRZ589834 IBO589834:IBV589834 ILK589834:ILR589834 IVG589834:IVN589834 JFC589834:JFJ589834 JOY589834:JPF589834 JYU589834:JZB589834 KIQ589834:KIX589834 KSM589834:KST589834 LCI589834:LCP589834 LME589834:LML589834 LWA589834:LWH589834 MFW589834:MGD589834 MPS589834:MPZ589834 MZO589834:MZV589834 NJK589834:NJR589834 NTG589834:NTN589834 ODC589834:ODJ589834 OMY589834:ONF589834 OWU589834:OXB589834 PGQ589834:PGX589834 PQM589834:PQT589834 QAI589834:QAP589834 QKE589834:QKL589834 QUA589834:QUH589834 RDW589834:RED589834 RNS589834:RNZ589834 RXO589834:RXV589834 SHK589834:SHR589834 SRG589834:SRN589834 TBC589834:TBJ589834 TKY589834:TLF589834 TUU589834:TVB589834 UEQ589834:UEX589834 UOM589834:UOT589834 UYI589834:UYP589834 VIE589834:VIL589834 VSA589834:VSH589834 WBW589834:WCD589834 WLS589834:WLZ589834 WVO589834:WVV589834 G655370:N655370 JC655370:JJ655370 SY655370:TF655370 ACU655370:ADB655370 AMQ655370:AMX655370 AWM655370:AWT655370 BGI655370:BGP655370 BQE655370:BQL655370 CAA655370:CAH655370 CJW655370:CKD655370 CTS655370:CTZ655370 DDO655370:DDV655370 DNK655370:DNR655370 DXG655370:DXN655370 EHC655370:EHJ655370 EQY655370:ERF655370 FAU655370:FBB655370 FKQ655370:FKX655370 FUM655370:FUT655370 GEI655370:GEP655370 GOE655370:GOL655370 GYA655370:GYH655370 HHW655370:HID655370 HRS655370:HRZ655370 IBO655370:IBV655370 ILK655370:ILR655370 IVG655370:IVN655370 JFC655370:JFJ655370 JOY655370:JPF655370 JYU655370:JZB655370 KIQ655370:KIX655370 KSM655370:KST655370 LCI655370:LCP655370 LME655370:LML655370 LWA655370:LWH655370 MFW655370:MGD655370 MPS655370:MPZ655370 MZO655370:MZV655370 NJK655370:NJR655370 NTG655370:NTN655370 ODC655370:ODJ655370 OMY655370:ONF655370 OWU655370:OXB655370 PGQ655370:PGX655370 PQM655370:PQT655370 QAI655370:QAP655370 QKE655370:QKL655370 QUA655370:QUH655370 RDW655370:RED655370 RNS655370:RNZ655370 RXO655370:RXV655370 SHK655370:SHR655370 SRG655370:SRN655370 TBC655370:TBJ655370 TKY655370:TLF655370 TUU655370:TVB655370 UEQ655370:UEX655370 UOM655370:UOT655370 UYI655370:UYP655370 VIE655370:VIL655370 VSA655370:VSH655370 WBW655370:WCD655370 WLS655370:WLZ655370 WVO655370:WVV655370 G720906:N720906 JC720906:JJ720906 SY720906:TF720906 ACU720906:ADB720906 AMQ720906:AMX720906 AWM720906:AWT720906 BGI720906:BGP720906 BQE720906:BQL720906 CAA720906:CAH720906 CJW720906:CKD720906 CTS720906:CTZ720906 DDO720906:DDV720906 DNK720906:DNR720906 DXG720906:DXN720906 EHC720906:EHJ720906 EQY720906:ERF720906 FAU720906:FBB720906 FKQ720906:FKX720906 FUM720906:FUT720906 GEI720906:GEP720906 GOE720906:GOL720906 GYA720906:GYH720906 HHW720906:HID720906 HRS720906:HRZ720906 IBO720906:IBV720906 ILK720906:ILR720906 IVG720906:IVN720906 JFC720906:JFJ720906 JOY720906:JPF720906 JYU720906:JZB720906 KIQ720906:KIX720906 KSM720906:KST720906 LCI720906:LCP720906 LME720906:LML720906 LWA720906:LWH720906 MFW720906:MGD720906 MPS720906:MPZ720906 MZO720906:MZV720906 NJK720906:NJR720906 NTG720906:NTN720906 ODC720906:ODJ720906 OMY720906:ONF720906 OWU720906:OXB720906 PGQ720906:PGX720906 PQM720906:PQT720906 QAI720906:QAP720906 QKE720906:QKL720906 QUA720906:QUH720906 RDW720906:RED720906 RNS720906:RNZ720906 RXO720906:RXV720906 SHK720906:SHR720906 SRG720906:SRN720906 TBC720906:TBJ720906 TKY720906:TLF720906 TUU720906:TVB720906 UEQ720906:UEX720906 UOM720906:UOT720906 UYI720906:UYP720906 VIE720906:VIL720906 VSA720906:VSH720906 WBW720906:WCD720906 WLS720906:WLZ720906 WVO720906:WVV720906 G786442:N786442 JC786442:JJ786442 SY786442:TF786442 ACU786442:ADB786442 AMQ786442:AMX786442 AWM786442:AWT786442 BGI786442:BGP786442 BQE786442:BQL786442 CAA786442:CAH786442 CJW786442:CKD786442 CTS786442:CTZ786442 DDO786442:DDV786442 DNK786442:DNR786442 DXG786442:DXN786442 EHC786442:EHJ786442 EQY786442:ERF786442 FAU786442:FBB786442 FKQ786442:FKX786442 FUM786442:FUT786442 GEI786442:GEP786442 GOE786442:GOL786442 GYA786442:GYH786442 HHW786442:HID786442 HRS786442:HRZ786442 IBO786442:IBV786442 ILK786442:ILR786442 IVG786442:IVN786442 JFC786442:JFJ786442 JOY786442:JPF786442 JYU786442:JZB786442 KIQ786442:KIX786442 KSM786442:KST786442 LCI786442:LCP786442 LME786442:LML786442 LWA786442:LWH786442 MFW786442:MGD786442 MPS786442:MPZ786442 MZO786442:MZV786442 NJK786442:NJR786442 NTG786442:NTN786442 ODC786442:ODJ786442 OMY786442:ONF786442 OWU786442:OXB786442 PGQ786442:PGX786442 PQM786442:PQT786442 QAI786442:QAP786442 QKE786442:QKL786442 QUA786442:QUH786442 RDW786442:RED786442 RNS786442:RNZ786442 RXO786442:RXV786442 SHK786442:SHR786442 SRG786442:SRN786442 TBC786442:TBJ786442 TKY786442:TLF786442 TUU786442:TVB786442 UEQ786442:UEX786442 UOM786442:UOT786442 UYI786442:UYP786442 VIE786442:VIL786442 VSA786442:VSH786442 WBW786442:WCD786442 WLS786442:WLZ786442 WVO786442:WVV786442 G851978:N851978 JC851978:JJ851978 SY851978:TF851978 ACU851978:ADB851978 AMQ851978:AMX851978 AWM851978:AWT851978 BGI851978:BGP851978 BQE851978:BQL851978 CAA851978:CAH851978 CJW851978:CKD851978 CTS851978:CTZ851978 DDO851978:DDV851978 DNK851978:DNR851978 DXG851978:DXN851978 EHC851978:EHJ851978 EQY851978:ERF851978 FAU851978:FBB851978 FKQ851978:FKX851978 FUM851978:FUT851978 GEI851978:GEP851978 GOE851978:GOL851978 GYA851978:GYH851978 HHW851978:HID851978 HRS851978:HRZ851978 IBO851978:IBV851978 ILK851978:ILR851978 IVG851978:IVN851978 JFC851978:JFJ851978 JOY851978:JPF851978 JYU851978:JZB851978 KIQ851978:KIX851978 KSM851978:KST851978 LCI851978:LCP851978 LME851978:LML851978 LWA851978:LWH851978 MFW851978:MGD851978 MPS851978:MPZ851978 MZO851978:MZV851978 NJK851978:NJR851978 NTG851978:NTN851978 ODC851978:ODJ851978 OMY851978:ONF851978 OWU851978:OXB851978 PGQ851978:PGX851978 PQM851978:PQT851978 QAI851978:QAP851978 QKE851978:QKL851978 QUA851978:QUH851978 RDW851978:RED851978 RNS851978:RNZ851978 RXO851978:RXV851978 SHK851978:SHR851978 SRG851978:SRN851978 TBC851978:TBJ851978 TKY851978:TLF851978 TUU851978:TVB851978 UEQ851978:UEX851978 UOM851978:UOT851978 UYI851978:UYP851978 VIE851978:VIL851978 VSA851978:VSH851978 WBW851978:WCD851978 WLS851978:WLZ851978 WVO851978:WVV851978 G917514:N917514 JC917514:JJ917514 SY917514:TF917514 ACU917514:ADB917514 AMQ917514:AMX917514 AWM917514:AWT917514 BGI917514:BGP917514 BQE917514:BQL917514 CAA917514:CAH917514 CJW917514:CKD917514 CTS917514:CTZ917514 DDO917514:DDV917514 DNK917514:DNR917514 DXG917514:DXN917514 EHC917514:EHJ917514 EQY917514:ERF917514 FAU917514:FBB917514 FKQ917514:FKX917514 FUM917514:FUT917514 GEI917514:GEP917514 GOE917514:GOL917514 GYA917514:GYH917514 HHW917514:HID917514 HRS917514:HRZ917514 IBO917514:IBV917514 ILK917514:ILR917514 IVG917514:IVN917514 JFC917514:JFJ917514 JOY917514:JPF917514 JYU917514:JZB917514 KIQ917514:KIX917514 KSM917514:KST917514 LCI917514:LCP917514 LME917514:LML917514 LWA917514:LWH917514 MFW917514:MGD917514 MPS917514:MPZ917514 MZO917514:MZV917514 NJK917514:NJR917514 NTG917514:NTN917514 ODC917514:ODJ917514 OMY917514:ONF917514 OWU917514:OXB917514 PGQ917514:PGX917514 PQM917514:PQT917514 QAI917514:QAP917514 QKE917514:QKL917514 QUA917514:QUH917514 RDW917514:RED917514 RNS917514:RNZ917514 RXO917514:RXV917514 SHK917514:SHR917514 SRG917514:SRN917514 TBC917514:TBJ917514 TKY917514:TLF917514 TUU917514:TVB917514 UEQ917514:UEX917514 UOM917514:UOT917514 UYI917514:UYP917514 VIE917514:VIL917514 VSA917514:VSH917514 WBW917514:WCD917514 WLS917514:WLZ917514 WVO917514:WVV917514 G983050:N983050 JC983050:JJ983050 SY983050:TF983050 ACU983050:ADB983050 AMQ983050:AMX983050 AWM983050:AWT983050 BGI983050:BGP983050 BQE983050:BQL983050 CAA983050:CAH983050 CJW983050:CKD983050 CTS983050:CTZ983050 DDO983050:DDV983050 DNK983050:DNR983050 DXG983050:DXN983050 EHC983050:EHJ983050 EQY983050:ERF983050 FAU983050:FBB983050 FKQ983050:FKX983050 FUM983050:FUT983050 GEI983050:GEP983050 GOE983050:GOL983050 GYA983050:GYH983050 HHW983050:HID983050 HRS983050:HRZ983050 IBO983050:IBV983050 ILK983050:ILR983050 IVG983050:IVN983050 JFC983050:JFJ983050 JOY983050:JPF983050 JYU983050:JZB983050 KIQ983050:KIX983050 KSM983050:KST983050 LCI983050:LCP983050 LME983050:LML983050 LWA983050:LWH983050 MFW983050:MGD983050 MPS983050:MPZ983050 MZO983050:MZV983050 NJK983050:NJR983050 NTG983050:NTN983050 ODC983050:ODJ983050 OMY983050:ONF983050 OWU983050:OXB983050 PGQ983050:PGX983050 PQM983050:PQT983050 QAI983050:QAP983050 QKE983050:QKL983050 QUA983050:QUH983050 RDW983050:RED983050 RNS983050:RNZ983050 RXO983050:RXV983050 SHK983050:SHR983050 SRG983050:SRN983050 TBC983050:TBJ983050 TKY983050:TLF983050 TUU983050:TVB983050 UEQ983050:UEX983050 UOM983050:UOT983050 UYI983050:UYP983050 VIE983050:VIL983050 VSA983050:VSH983050 WBW983050:WCD983050 WLS983050:WLZ983050 WVO983050:WVV983050" xr:uid="{00000000-0002-0000-0100-000001000000}">
      <formula1>"積上げ,積上げ・率処理併用"</formula1>
    </dataValidation>
    <dataValidation type="list" allowBlank="1" showInputMessage="1" showErrorMessage="1" sqref="G85:N85 JC85:JJ85 SY85:TF85 ACU85:ADB85 AMQ85:AMX85 AWM85:AWT85 BGI85:BGP85 BQE85:BQL85 CAA85:CAH85 CJW85:CKD85 CTS85:CTZ85 DDO85:DDV85 DNK85:DNR85 DXG85:DXN85 EHC85:EHJ85 EQY85:ERF85 FAU85:FBB85 FKQ85:FKX85 FUM85:FUT85 GEI85:GEP85 GOE85:GOL85 GYA85:GYH85 HHW85:HID85 HRS85:HRZ85 IBO85:IBV85 ILK85:ILR85 IVG85:IVN85 JFC85:JFJ85 JOY85:JPF85 JYU85:JZB85 KIQ85:KIX85 KSM85:KST85 LCI85:LCP85 LME85:LML85 LWA85:LWH85 MFW85:MGD85 MPS85:MPZ85 MZO85:MZV85 NJK85:NJR85 NTG85:NTN85 ODC85:ODJ85 OMY85:ONF85 OWU85:OXB85 PGQ85:PGX85 PQM85:PQT85 QAI85:QAP85 QKE85:QKL85 QUA85:QUH85 RDW85:RED85 RNS85:RNZ85 RXO85:RXV85 SHK85:SHR85 SRG85:SRN85 TBC85:TBJ85 TKY85:TLF85 TUU85:TVB85 UEQ85:UEX85 UOM85:UOT85 UYI85:UYP85 VIE85:VIL85 VSA85:VSH85 WBW85:WCD85 WLS85:WLZ85 WVO85:WVV85 G65621:N65621 JC65621:JJ65621 SY65621:TF65621 ACU65621:ADB65621 AMQ65621:AMX65621 AWM65621:AWT65621 BGI65621:BGP65621 BQE65621:BQL65621 CAA65621:CAH65621 CJW65621:CKD65621 CTS65621:CTZ65621 DDO65621:DDV65621 DNK65621:DNR65621 DXG65621:DXN65621 EHC65621:EHJ65621 EQY65621:ERF65621 FAU65621:FBB65621 FKQ65621:FKX65621 FUM65621:FUT65621 GEI65621:GEP65621 GOE65621:GOL65621 GYA65621:GYH65621 HHW65621:HID65621 HRS65621:HRZ65621 IBO65621:IBV65621 ILK65621:ILR65621 IVG65621:IVN65621 JFC65621:JFJ65621 JOY65621:JPF65621 JYU65621:JZB65621 KIQ65621:KIX65621 KSM65621:KST65621 LCI65621:LCP65621 LME65621:LML65621 LWA65621:LWH65621 MFW65621:MGD65621 MPS65621:MPZ65621 MZO65621:MZV65621 NJK65621:NJR65621 NTG65621:NTN65621 ODC65621:ODJ65621 OMY65621:ONF65621 OWU65621:OXB65621 PGQ65621:PGX65621 PQM65621:PQT65621 QAI65621:QAP65621 QKE65621:QKL65621 QUA65621:QUH65621 RDW65621:RED65621 RNS65621:RNZ65621 RXO65621:RXV65621 SHK65621:SHR65621 SRG65621:SRN65621 TBC65621:TBJ65621 TKY65621:TLF65621 TUU65621:TVB65621 UEQ65621:UEX65621 UOM65621:UOT65621 UYI65621:UYP65621 VIE65621:VIL65621 VSA65621:VSH65621 WBW65621:WCD65621 WLS65621:WLZ65621 WVO65621:WVV65621 G131157:N131157 JC131157:JJ131157 SY131157:TF131157 ACU131157:ADB131157 AMQ131157:AMX131157 AWM131157:AWT131157 BGI131157:BGP131157 BQE131157:BQL131157 CAA131157:CAH131157 CJW131157:CKD131157 CTS131157:CTZ131157 DDO131157:DDV131157 DNK131157:DNR131157 DXG131157:DXN131157 EHC131157:EHJ131157 EQY131157:ERF131157 FAU131157:FBB131157 FKQ131157:FKX131157 FUM131157:FUT131157 GEI131157:GEP131157 GOE131157:GOL131157 GYA131157:GYH131157 HHW131157:HID131157 HRS131157:HRZ131157 IBO131157:IBV131157 ILK131157:ILR131157 IVG131157:IVN131157 JFC131157:JFJ131157 JOY131157:JPF131157 JYU131157:JZB131157 KIQ131157:KIX131157 KSM131157:KST131157 LCI131157:LCP131157 LME131157:LML131157 LWA131157:LWH131157 MFW131157:MGD131157 MPS131157:MPZ131157 MZO131157:MZV131157 NJK131157:NJR131157 NTG131157:NTN131157 ODC131157:ODJ131157 OMY131157:ONF131157 OWU131157:OXB131157 PGQ131157:PGX131157 PQM131157:PQT131157 QAI131157:QAP131157 QKE131157:QKL131157 QUA131157:QUH131157 RDW131157:RED131157 RNS131157:RNZ131157 RXO131157:RXV131157 SHK131157:SHR131157 SRG131157:SRN131157 TBC131157:TBJ131157 TKY131157:TLF131157 TUU131157:TVB131157 UEQ131157:UEX131157 UOM131157:UOT131157 UYI131157:UYP131157 VIE131157:VIL131157 VSA131157:VSH131157 WBW131157:WCD131157 WLS131157:WLZ131157 WVO131157:WVV131157 G196693:N196693 JC196693:JJ196693 SY196693:TF196693 ACU196693:ADB196693 AMQ196693:AMX196693 AWM196693:AWT196693 BGI196693:BGP196693 BQE196693:BQL196693 CAA196693:CAH196693 CJW196693:CKD196693 CTS196693:CTZ196693 DDO196693:DDV196693 DNK196693:DNR196693 DXG196693:DXN196693 EHC196693:EHJ196693 EQY196693:ERF196693 FAU196693:FBB196693 FKQ196693:FKX196693 FUM196693:FUT196693 GEI196693:GEP196693 GOE196693:GOL196693 GYA196693:GYH196693 HHW196693:HID196693 HRS196693:HRZ196693 IBO196693:IBV196693 ILK196693:ILR196693 IVG196693:IVN196693 JFC196693:JFJ196693 JOY196693:JPF196693 JYU196693:JZB196693 KIQ196693:KIX196693 KSM196693:KST196693 LCI196693:LCP196693 LME196693:LML196693 LWA196693:LWH196693 MFW196693:MGD196693 MPS196693:MPZ196693 MZO196693:MZV196693 NJK196693:NJR196693 NTG196693:NTN196693 ODC196693:ODJ196693 OMY196693:ONF196693 OWU196693:OXB196693 PGQ196693:PGX196693 PQM196693:PQT196693 QAI196693:QAP196693 QKE196693:QKL196693 QUA196693:QUH196693 RDW196693:RED196693 RNS196693:RNZ196693 RXO196693:RXV196693 SHK196693:SHR196693 SRG196693:SRN196693 TBC196693:TBJ196693 TKY196693:TLF196693 TUU196693:TVB196693 UEQ196693:UEX196693 UOM196693:UOT196693 UYI196693:UYP196693 VIE196693:VIL196693 VSA196693:VSH196693 WBW196693:WCD196693 WLS196693:WLZ196693 WVO196693:WVV196693 G262229:N262229 JC262229:JJ262229 SY262229:TF262229 ACU262229:ADB262229 AMQ262229:AMX262229 AWM262229:AWT262229 BGI262229:BGP262229 BQE262229:BQL262229 CAA262229:CAH262229 CJW262229:CKD262229 CTS262229:CTZ262229 DDO262229:DDV262229 DNK262229:DNR262229 DXG262229:DXN262229 EHC262229:EHJ262229 EQY262229:ERF262229 FAU262229:FBB262229 FKQ262229:FKX262229 FUM262229:FUT262229 GEI262229:GEP262229 GOE262229:GOL262229 GYA262229:GYH262229 HHW262229:HID262229 HRS262229:HRZ262229 IBO262229:IBV262229 ILK262229:ILR262229 IVG262229:IVN262229 JFC262229:JFJ262229 JOY262229:JPF262229 JYU262229:JZB262229 KIQ262229:KIX262229 KSM262229:KST262229 LCI262229:LCP262229 LME262229:LML262229 LWA262229:LWH262229 MFW262229:MGD262229 MPS262229:MPZ262229 MZO262229:MZV262229 NJK262229:NJR262229 NTG262229:NTN262229 ODC262229:ODJ262229 OMY262229:ONF262229 OWU262229:OXB262229 PGQ262229:PGX262229 PQM262229:PQT262229 QAI262229:QAP262229 QKE262229:QKL262229 QUA262229:QUH262229 RDW262229:RED262229 RNS262229:RNZ262229 RXO262229:RXV262229 SHK262229:SHR262229 SRG262229:SRN262229 TBC262229:TBJ262229 TKY262229:TLF262229 TUU262229:TVB262229 UEQ262229:UEX262229 UOM262229:UOT262229 UYI262229:UYP262229 VIE262229:VIL262229 VSA262229:VSH262229 WBW262229:WCD262229 WLS262229:WLZ262229 WVO262229:WVV262229 G327765:N327765 JC327765:JJ327765 SY327765:TF327765 ACU327765:ADB327765 AMQ327765:AMX327765 AWM327765:AWT327765 BGI327765:BGP327765 BQE327765:BQL327765 CAA327765:CAH327765 CJW327765:CKD327765 CTS327765:CTZ327765 DDO327765:DDV327765 DNK327765:DNR327765 DXG327765:DXN327765 EHC327765:EHJ327765 EQY327765:ERF327765 FAU327765:FBB327765 FKQ327765:FKX327765 FUM327765:FUT327765 GEI327765:GEP327765 GOE327765:GOL327765 GYA327765:GYH327765 HHW327765:HID327765 HRS327765:HRZ327765 IBO327765:IBV327765 ILK327765:ILR327765 IVG327765:IVN327765 JFC327765:JFJ327765 JOY327765:JPF327765 JYU327765:JZB327765 KIQ327765:KIX327765 KSM327765:KST327765 LCI327765:LCP327765 LME327765:LML327765 LWA327765:LWH327765 MFW327765:MGD327765 MPS327765:MPZ327765 MZO327765:MZV327765 NJK327765:NJR327765 NTG327765:NTN327765 ODC327765:ODJ327765 OMY327765:ONF327765 OWU327765:OXB327765 PGQ327765:PGX327765 PQM327765:PQT327765 QAI327765:QAP327765 QKE327765:QKL327765 QUA327765:QUH327765 RDW327765:RED327765 RNS327765:RNZ327765 RXO327765:RXV327765 SHK327765:SHR327765 SRG327765:SRN327765 TBC327765:TBJ327765 TKY327765:TLF327765 TUU327765:TVB327765 UEQ327765:UEX327765 UOM327765:UOT327765 UYI327765:UYP327765 VIE327765:VIL327765 VSA327765:VSH327765 WBW327765:WCD327765 WLS327765:WLZ327765 WVO327765:WVV327765 G393301:N393301 JC393301:JJ393301 SY393301:TF393301 ACU393301:ADB393301 AMQ393301:AMX393301 AWM393301:AWT393301 BGI393301:BGP393301 BQE393301:BQL393301 CAA393301:CAH393301 CJW393301:CKD393301 CTS393301:CTZ393301 DDO393301:DDV393301 DNK393301:DNR393301 DXG393301:DXN393301 EHC393301:EHJ393301 EQY393301:ERF393301 FAU393301:FBB393301 FKQ393301:FKX393301 FUM393301:FUT393301 GEI393301:GEP393301 GOE393301:GOL393301 GYA393301:GYH393301 HHW393301:HID393301 HRS393301:HRZ393301 IBO393301:IBV393301 ILK393301:ILR393301 IVG393301:IVN393301 JFC393301:JFJ393301 JOY393301:JPF393301 JYU393301:JZB393301 KIQ393301:KIX393301 KSM393301:KST393301 LCI393301:LCP393301 LME393301:LML393301 LWA393301:LWH393301 MFW393301:MGD393301 MPS393301:MPZ393301 MZO393301:MZV393301 NJK393301:NJR393301 NTG393301:NTN393301 ODC393301:ODJ393301 OMY393301:ONF393301 OWU393301:OXB393301 PGQ393301:PGX393301 PQM393301:PQT393301 QAI393301:QAP393301 QKE393301:QKL393301 QUA393301:QUH393301 RDW393301:RED393301 RNS393301:RNZ393301 RXO393301:RXV393301 SHK393301:SHR393301 SRG393301:SRN393301 TBC393301:TBJ393301 TKY393301:TLF393301 TUU393301:TVB393301 UEQ393301:UEX393301 UOM393301:UOT393301 UYI393301:UYP393301 VIE393301:VIL393301 VSA393301:VSH393301 WBW393301:WCD393301 WLS393301:WLZ393301 WVO393301:WVV393301 G458837:N458837 JC458837:JJ458837 SY458837:TF458837 ACU458837:ADB458837 AMQ458837:AMX458837 AWM458837:AWT458837 BGI458837:BGP458837 BQE458837:BQL458837 CAA458837:CAH458837 CJW458837:CKD458837 CTS458837:CTZ458837 DDO458837:DDV458837 DNK458837:DNR458837 DXG458837:DXN458837 EHC458837:EHJ458837 EQY458837:ERF458837 FAU458837:FBB458837 FKQ458837:FKX458837 FUM458837:FUT458837 GEI458837:GEP458837 GOE458837:GOL458837 GYA458837:GYH458837 HHW458837:HID458837 HRS458837:HRZ458837 IBO458837:IBV458837 ILK458837:ILR458837 IVG458837:IVN458837 JFC458837:JFJ458837 JOY458837:JPF458837 JYU458837:JZB458837 KIQ458837:KIX458837 KSM458837:KST458837 LCI458837:LCP458837 LME458837:LML458837 LWA458837:LWH458837 MFW458837:MGD458837 MPS458837:MPZ458837 MZO458837:MZV458837 NJK458837:NJR458837 NTG458837:NTN458837 ODC458837:ODJ458837 OMY458837:ONF458837 OWU458837:OXB458837 PGQ458837:PGX458837 PQM458837:PQT458837 QAI458837:QAP458837 QKE458837:QKL458837 QUA458837:QUH458837 RDW458837:RED458837 RNS458837:RNZ458837 RXO458837:RXV458837 SHK458837:SHR458837 SRG458837:SRN458837 TBC458837:TBJ458837 TKY458837:TLF458837 TUU458837:TVB458837 UEQ458837:UEX458837 UOM458837:UOT458837 UYI458837:UYP458837 VIE458837:VIL458837 VSA458837:VSH458837 WBW458837:WCD458837 WLS458837:WLZ458837 WVO458837:WVV458837 G524373:N524373 JC524373:JJ524373 SY524373:TF524373 ACU524373:ADB524373 AMQ524373:AMX524373 AWM524373:AWT524373 BGI524373:BGP524373 BQE524373:BQL524373 CAA524373:CAH524373 CJW524373:CKD524373 CTS524373:CTZ524373 DDO524373:DDV524373 DNK524373:DNR524373 DXG524373:DXN524373 EHC524373:EHJ524373 EQY524373:ERF524373 FAU524373:FBB524373 FKQ524373:FKX524373 FUM524373:FUT524373 GEI524373:GEP524373 GOE524373:GOL524373 GYA524373:GYH524373 HHW524373:HID524373 HRS524373:HRZ524373 IBO524373:IBV524373 ILK524373:ILR524373 IVG524373:IVN524373 JFC524373:JFJ524373 JOY524373:JPF524373 JYU524373:JZB524373 KIQ524373:KIX524373 KSM524373:KST524373 LCI524373:LCP524373 LME524373:LML524373 LWA524373:LWH524373 MFW524373:MGD524373 MPS524373:MPZ524373 MZO524373:MZV524373 NJK524373:NJR524373 NTG524373:NTN524373 ODC524373:ODJ524373 OMY524373:ONF524373 OWU524373:OXB524373 PGQ524373:PGX524373 PQM524373:PQT524373 QAI524373:QAP524373 QKE524373:QKL524373 QUA524373:QUH524373 RDW524373:RED524373 RNS524373:RNZ524373 RXO524373:RXV524373 SHK524373:SHR524373 SRG524373:SRN524373 TBC524373:TBJ524373 TKY524373:TLF524373 TUU524373:TVB524373 UEQ524373:UEX524373 UOM524373:UOT524373 UYI524373:UYP524373 VIE524373:VIL524373 VSA524373:VSH524373 WBW524373:WCD524373 WLS524373:WLZ524373 WVO524373:WVV524373 G589909:N589909 JC589909:JJ589909 SY589909:TF589909 ACU589909:ADB589909 AMQ589909:AMX589909 AWM589909:AWT589909 BGI589909:BGP589909 BQE589909:BQL589909 CAA589909:CAH589909 CJW589909:CKD589909 CTS589909:CTZ589909 DDO589909:DDV589909 DNK589909:DNR589909 DXG589909:DXN589909 EHC589909:EHJ589909 EQY589909:ERF589909 FAU589909:FBB589909 FKQ589909:FKX589909 FUM589909:FUT589909 GEI589909:GEP589909 GOE589909:GOL589909 GYA589909:GYH589909 HHW589909:HID589909 HRS589909:HRZ589909 IBO589909:IBV589909 ILK589909:ILR589909 IVG589909:IVN589909 JFC589909:JFJ589909 JOY589909:JPF589909 JYU589909:JZB589909 KIQ589909:KIX589909 KSM589909:KST589909 LCI589909:LCP589909 LME589909:LML589909 LWA589909:LWH589909 MFW589909:MGD589909 MPS589909:MPZ589909 MZO589909:MZV589909 NJK589909:NJR589909 NTG589909:NTN589909 ODC589909:ODJ589909 OMY589909:ONF589909 OWU589909:OXB589909 PGQ589909:PGX589909 PQM589909:PQT589909 QAI589909:QAP589909 QKE589909:QKL589909 QUA589909:QUH589909 RDW589909:RED589909 RNS589909:RNZ589909 RXO589909:RXV589909 SHK589909:SHR589909 SRG589909:SRN589909 TBC589909:TBJ589909 TKY589909:TLF589909 TUU589909:TVB589909 UEQ589909:UEX589909 UOM589909:UOT589909 UYI589909:UYP589909 VIE589909:VIL589909 VSA589909:VSH589909 WBW589909:WCD589909 WLS589909:WLZ589909 WVO589909:WVV589909 G655445:N655445 JC655445:JJ655445 SY655445:TF655445 ACU655445:ADB655445 AMQ655445:AMX655445 AWM655445:AWT655445 BGI655445:BGP655445 BQE655445:BQL655445 CAA655445:CAH655445 CJW655445:CKD655445 CTS655445:CTZ655445 DDO655445:DDV655445 DNK655445:DNR655445 DXG655445:DXN655445 EHC655445:EHJ655445 EQY655445:ERF655445 FAU655445:FBB655445 FKQ655445:FKX655445 FUM655445:FUT655445 GEI655445:GEP655445 GOE655445:GOL655445 GYA655445:GYH655445 HHW655445:HID655445 HRS655445:HRZ655445 IBO655445:IBV655445 ILK655445:ILR655445 IVG655445:IVN655445 JFC655445:JFJ655445 JOY655445:JPF655445 JYU655445:JZB655445 KIQ655445:KIX655445 KSM655445:KST655445 LCI655445:LCP655445 LME655445:LML655445 LWA655445:LWH655445 MFW655445:MGD655445 MPS655445:MPZ655445 MZO655445:MZV655445 NJK655445:NJR655445 NTG655445:NTN655445 ODC655445:ODJ655445 OMY655445:ONF655445 OWU655445:OXB655445 PGQ655445:PGX655445 PQM655445:PQT655445 QAI655445:QAP655445 QKE655445:QKL655445 QUA655445:QUH655445 RDW655445:RED655445 RNS655445:RNZ655445 RXO655445:RXV655445 SHK655445:SHR655445 SRG655445:SRN655445 TBC655445:TBJ655445 TKY655445:TLF655445 TUU655445:TVB655445 UEQ655445:UEX655445 UOM655445:UOT655445 UYI655445:UYP655445 VIE655445:VIL655445 VSA655445:VSH655445 WBW655445:WCD655445 WLS655445:WLZ655445 WVO655445:WVV655445 G720981:N720981 JC720981:JJ720981 SY720981:TF720981 ACU720981:ADB720981 AMQ720981:AMX720981 AWM720981:AWT720981 BGI720981:BGP720981 BQE720981:BQL720981 CAA720981:CAH720981 CJW720981:CKD720981 CTS720981:CTZ720981 DDO720981:DDV720981 DNK720981:DNR720981 DXG720981:DXN720981 EHC720981:EHJ720981 EQY720981:ERF720981 FAU720981:FBB720981 FKQ720981:FKX720981 FUM720981:FUT720981 GEI720981:GEP720981 GOE720981:GOL720981 GYA720981:GYH720981 HHW720981:HID720981 HRS720981:HRZ720981 IBO720981:IBV720981 ILK720981:ILR720981 IVG720981:IVN720981 JFC720981:JFJ720981 JOY720981:JPF720981 JYU720981:JZB720981 KIQ720981:KIX720981 KSM720981:KST720981 LCI720981:LCP720981 LME720981:LML720981 LWA720981:LWH720981 MFW720981:MGD720981 MPS720981:MPZ720981 MZO720981:MZV720981 NJK720981:NJR720981 NTG720981:NTN720981 ODC720981:ODJ720981 OMY720981:ONF720981 OWU720981:OXB720981 PGQ720981:PGX720981 PQM720981:PQT720981 QAI720981:QAP720981 QKE720981:QKL720981 QUA720981:QUH720981 RDW720981:RED720981 RNS720981:RNZ720981 RXO720981:RXV720981 SHK720981:SHR720981 SRG720981:SRN720981 TBC720981:TBJ720981 TKY720981:TLF720981 TUU720981:TVB720981 UEQ720981:UEX720981 UOM720981:UOT720981 UYI720981:UYP720981 VIE720981:VIL720981 VSA720981:VSH720981 WBW720981:WCD720981 WLS720981:WLZ720981 WVO720981:WVV720981 G786517:N786517 JC786517:JJ786517 SY786517:TF786517 ACU786517:ADB786517 AMQ786517:AMX786517 AWM786517:AWT786517 BGI786517:BGP786517 BQE786517:BQL786517 CAA786517:CAH786517 CJW786517:CKD786517 CTS786517:CTZ786517 DDO786517:DDV786517 DNK786517:DNR786517 DXG786517:DXN786517 EHC786517:EHJ786517 EQY786517:ERF786517 FAU786517:FBB786517 FKQ786517:FKX786517 FUM786517:FUT786517 GEI786517:GEP786517 GOE786517:GOL786517 GYA786517:GYH786517 HHW786517:HID786517 HRS786517:HRZ786517 IBO786517:IBV786517 ILK786517:ILR786517 IVG786517:IVN786517 JFC786517:JFJ786517 JOY786517:JPF786517 JYU786517:JZB786517 KIQ786517:KIX786517 KSM786517:KST786517 LCI786517:LCP786517 LME786517:LML786517 LWA786517:LWH786517 MFW786517:MGD786517 MPS786517:MPZ786517 MZO786517:MZV786517 NJK786517:NJR786517 NTG786517:NTN786517 ODC786517:ODJ786517 OMY786517:ONF786517 OWU786517:OXB786517 PGQ786517:PGX786517 PQM786517:PQT786517 QAI786517:QAP786517 QKE786517:QKL786517 QUA786517:QUH786517 RDW786517:RED786517 RNS786517:RNZ786517 RXO786517:RXV786517 SHK786517:SHR786517 SRG786517:SRN786517 TBC786517:TBJ786517 TKY786517:TLF786517 TUU786517:TVB786517 UEQ786517:UEX786517 UOM786517:UOT786517 UYI786517:UYP786517 VIE786517:VIL786517 VSA786517:VSH786517 WBW786517:WCD786517 WLS786517:WLZ786517 WVO786517:WVV786517 G852053:N852053 JC852053:JJ852053 SY852053:TF852053 ACU852053:ADB852053 AMQ852053:AMX852053 AWM852053:AWT852053 BGI852053:BGP852053 BQE852053:BQL852053 CAA852053:CAH852053 CJW852053:CKD852053 CTS852053:CTZ852053 DDO852053:DDV852053 DNK852053:DNR852053 DXG852053:DXN852053 EHC852053:EHJ852053 EQY852053:ERF852053 FAU852053:FBB852053 FKQ852053:FKX852053 FUM852053:FUT852053 GEI852053:GEP852053 GOE852053:GOL852053 GYA852053:GYH852053 HHW852053:HID852053 HRS852053:HRZ852053 IBO852053:IBV852053 ILK852053:ILR852053 IVG852053:IVN852053 JFC852053:JFJ852053 JOY852053:JPF852053 JYU852053:JZB852053 KIQ852053:KIX852053 KSM852053:KST852053 LCI852053:LCP852053 LME852053:LML852053 LWA852053:LWH852053 MFW852053:MGD852053 MPS852053:MPZ852053 MZO852053:MZV852053 NJK852053:NJR852053 NTG852053:NTN852053 ODC852053:ODJ852053 OMY852053:ONF852053 OWU852053:OXB852053 PGQ852053:PGX852053 PQM852053:PQT852053 QAI852053:QAP852053 QKE852053:QKL852053 QUA852053:QUH852053 RDW852053:RED852053 RNS852053:RNZ852053 RXO852053:RXV852053 SHK852053:SHR852053 SRG852053:SRN852053 TBC852053:TBJ852053 TKY852053:TLF852053 TUU852053:TVB852053 UEQ852053:UEX852053 UOM852053:UOT852053 UYI852053:UYP852053 VIE852053:VIL852053 VSA852053:VSH852053 WBW852053:WCD852053 WLS852053:WLZ852053 WVO852053:WVV852053 G917589:N917589 JC917589:JJ917589 SY917589:TF917589 ACU917589:ADB917589 AMQ917589:AMX917589 AWM917589:AWT917589 BGI917589:BGP917589 BQE917589:BQL917589 CAA917589:CAH917589 CJW917589:CKD917589 CTS917589:CTZ917589 DDO917589:DDV917589 DNK917589:DNR917589 DXG917589:DXN917589 EHC917589:EHJ917589 EQY917589:ERF917589 FAU917589:FBB917589 FKQ917589:FKX917589 FUM917589:FUT917589 GEI917589:GEP917589 GOE917589:GOL917589 GYA917589:GYH917589 HHW917589:HID917589 HRS917589:HRZ917589 IBO917589:IBV917589 ILK917589:ILR917589 IVG917589:IVN917589 JFC917589:JFJ917589 JOY917589:JPF917589 JYU917589:JZB917589 KIQ917589:KIX917589 KSM917589:KST917589 LCI917589:LCP917589 LME917589:LML917589 LWA917589:LWH917589 MFW917589:MGD917589 MPS917589:MPZ917589 MZO917589:MZV917589 NJK917589:NJR917589 NTG917589:NTN917589 ODC917589:ODJ917589 OMY917589:ONF917589 OWU917589:OXB917589 PGQ917589:PGX917589 PQM917589:PQT917589 QAI917589:QAP917589 QKE917589:QKL917589 QUA917589:QUH917589 RDW917589:RED917589 RNS917589:RNZ917589 RXO917589:RXV917589 SHK917589:SHR917589 SRG917589:SRN917589 TBC917589:TBJ917589 TKY917589:TLF917589 TUU917589:TVB917589 UEQ917589:UEX917589 UOM917589:UOT917589 UYI917589:UYP917589 VIE917589:VIL917589 VSA917589:VSH917589 WBW917589:WCD917589 WLS917589:WLZ917589 WVO917589:WVV917589 G983125:N983125 JC983125:JJ983125 SY983125:TF983125 ACU983125:ADB983125 AMQ983125:AMX983125 AWM983125:AWT983125 BGI983125:BGP983125 BQE983125:BQL983125 CAA983125:CAH983125 CJW983125:CKD983125 CTS983125:CTZ983125 DDO983125:DDV983125 DNK983125:DNR983125 DXG983125:DXN983125 EHC983125:EHJ983125 EQY983125:ERF983125 FAU983125:FBB983125 FKQ983125:FKX983125 FUM983125:FUT983125 GEI983125:GEP983125 GOE983125:GOL983125 GYA983125:GYH983125 HHW983125:HID983125 HRS983125:HRZ983125 IBO983125:IBV983125 ILK983125:ILR983125 IVG983125:IVN983125 JFC983125:JFJ983125 JOY983125:JPF983125 JYU983125:JZB983125 KIQ983125:KIX983125 KSM983125:KST983125 LCI983125:LCP983125 LME983125:LML983125 LWA983125:LWH983125 MFW983125:MGD983125 MPS983125:MPZ983125 MZO983125:MZV983125 NJK983125:NJR983125 NTG983125:NTN983125 ODC983125:ODJ983125 OMY983125:ONF983125 OWU983125:OXB983125 PGQ983125:PGX983125 PQM983125:PQT983125 QAI983125:QAP983125 QKE983125:QKL983125 QUA983125:QUH983125 RDW983125:RED983125 RNS983125:RNZ983125 RXO983125:RXV983125 SHK983125:SHR983125 SRG983125:SRN983125 TBC983125:TBJ983125 TKY983125:TLF983125 TUU983125:TVB983125 UEQ983125:UEX983125 UOM983125:UOT983125 UYI983125:UYP983125 VIE983125:VIL983125 VSA983125:VSH983125 WBW983125:WCD983125 WLS983125:WLZ983125 WVO983125:WVV983125 G9:N9 JC9:JJ9 SY9:TF9 ACU9:ADB9 AMQ9:AMX9 AWM9:AWT9 BGI9:BGP9 BQE9:BQL9 CAA9:CAH9 CJW9:CKD9 CTS9:CTZ9 DDO9:DDV9 DNK9:DNR9 DXG9:DXN9 EHC9:EHJ9 EQY9:ERF9 FAU9:FBB9 FKQ9:FKX9 FUM9:FUT9 GEI9:GEP9 GOE9:GOL9 GYA9:GYH9 HHW9:HID9 HRS9:HRZ9 IBO9:IBV9 ILK9:ILR9 IVG9:IVN9 JFC9:JFJ9 JOY9:JPF9 JYU9:JZB9 KIQ9:KIX9 KSM9:KST9 LCI9:LCP9 LME9:LML9 LWA9:LWH9 MFW9:MGD9 MPS9:MPZ9 MZO9:MZV9 NJK9:NJR9 NTG9:NTN9 ODC9:ODJ9 OMY9:ONF9 OWU9:OXB9 PGQ9:PGX9 PQM9:PQT9 QAI9:QAP9 QKE9:QKL9 QUA9:QUH9 RDW9:RED9 RNS9:RNZ9 RXO9:RXV9 SHK9:SHR9 SRG9:SRN9 TBC9:TBJ9 TKY9:TLF9 TUU9:TVB9 UEQ9:UEX9 UOM9:UOT9 UYI9:UYP9 VIE9:VIL9 VSA9:VSH9 WBW9:WCD9 WLS9:WLZ9 WVO9:WVV9 G65545:N65545 JC65545:JJ65545 SY65545:TF65545 ACU65545:ADB65545 AMQ65545:AMX65545 AWM65545:AWT65545 BGI65545:BGP65545 BQE65545:BQL65545 CAA65545:CAH65545 CJW65545:CKD65545 CTS65545:CTZ65545 DDO65545:DDV65545 DNK65545:DNR65545 DXG65545:DXN65545 EHC65545:EHJ65545 EQY65545:ERF65545 FAU65545:FBB65545 FKQ65545:FKX65545 FUM65545:FUT65545 GEI65545:GEP65545 GOE65545:GOL65545 GYA65545:GYH65545 HHW65545:HID65545 HRS65545:HRZ65545 IBO65545:IBV65545 ILK65545:ILR65545 IVG65545:IVN65545 JFC65545:JFJ65545 JOY65545:JPF65545 JYU65545:JZB65545 KIQ65545:KIX65545 KSM65545:KST65545 LCI65545:LCP65545 LME65545:LML65545 LWA65545:LWH65545 MFW65545:MGD65545 MPS65545:MPZ65545 MZO65545:MZV65545 NJK65545:NJR65545 NTG65545:NTN65545 ODC65545:ODJ65545 OMY65545:ONF65545 OWU65545:OXB65545 PGQ65545:PGX65545 PQM65545:PQT65545 QAI65545:QAP65545 QKE65545:QKL65545 QUA65545:QUH65545 RDW65545:RED65545 RNS65545:RNZ65545 RXO65545:RXV65545 SHK65545:SHR65545 SRG65545:SRN65545 TBC65545:TBJ65545 TKY65545:TLF65545 TUU65545:TVB65545 UEQ65545:UEX65545 UOM65545:UOT65545 UYI65545:UYP65545 VIE65545:VIL65545 VSA65545:VSH65545 WBW65545:WCD65545 WLS65545:WLZ65545 WVO65545:WVV65545 G131081:N131081 JC131081:JJ131081 SY131081:TF131081 ACU131081:ADB131081 AMQ131081:AMX131081 AWM131081:AWT131081 BGI131081:BGP131081 BQE131081:BQL131081 CAA131081:CAH131081 CJW131081:CKD131081 CTS131081:CTZ131081 DDO131081:DDV131081 DNK131081:DNR131081 DXG131081:DXN131081 EHC131081:EHJ131081 EQY131081:ERF131081 FAU131081:FBB131081 FKQ131081:FKX131081 FUM131081:FUT131081 GEI131081:GEP131081 GOE131081:GOL131081 GYA131081:GYH131081 HHW131081:HID131081 HRS131081:HRZ131081 IBO131081:IBV131081 ILK131081:ILR131081 IVG131081:IVN131081 JFC131081:JFJ131081 JOY131081:JPF131081 JYU131081:JZB131081 KIQ131081:KIX131081 KSM131081:KST131081 LCI131081:LCP131081 LME131081:LML131081 LWA131081:LWH131081 MFW131081:MGD131081 MPS131081:MPZ131081 MZO131081:MZV131081 NJK131081:NJR131081 NTG131081:NTN131081 ODC131081:ODJ131081 OMY131081:ONF131081 OWU131081:OXB131081 PGQ131081:PGX131081 PQM131081:PQT131081 QAI131081:QAP131081 QKE131081:QKL131081 QUA131081:QUH131081 RDW131081:RED131081 RNS131081:RNZ131081 RXO131081:RXV131081 SHK131081:SHR131081 SRG131081:SRN131081 TBC131081:TBJ131081 TKY131081:TLF131081 TUU131081:TVB131081 UEQ131081:UEX131081 UOM131081:UOT131081 UYI131081:UYP131081 VIE131081:VIL131081 VSA131081:VSH131081 WBW131081:WCD131081 WLS131081:WLZ131081 WVO131081:WVV131081 G196617:N196617 JC196617:JJ196617 SY196617:TF196617 ACU196617:ADB196617 AMQ196617:AMX196617 AWM196617:AWT196617 BGI196617:BGP196617 BQE196617:BQL196617 CAA196617:CAH196617 CJW196617:CKD196617 CTS196617:CTZ196617 DDO196617:DDV196617 DNK196617:DNR196617 DXG196617:DXN196617 EHC196617:EHJ196617 EQY196617:ERF196617 FAU196617:FBB196617 FKQ196617:FKX196617 FUM196617:FUT196617 GEI196617:GEP196617 GOE196617:GOL196617 GYA196617:GYH196617 HHW196617:HID196617 HRS196617:HRZ196617 IBO196617:IBV196617 ILK196617:ILR196617 IVG196617:IVN196617 JFC196617:JFJ196617 JOY196617:JPF196617 JYU196617:JZB196617 KIQ196617:KIX196617 KSM196617:KST196617 LCI196617:LCP196617 LME196617:LML196617 LWA196617:LWH196617 MFW196617:MGD196617 MPS196617:MPZ196617 MZO196617:MZV196617 NJK196617:NJR196617 NTG196617:NTN196617 ODC196617:ODJ196617 OMY196617:ONF196617 OWU196617:OXB196617 PGQ196617:PGX196617 PQM196617:PQT196617 QAI196617:QAP196617 QKE196617:QKL196617 QUA196617:QUH196617 RDW196617:RED196617 RNS196617:RNZ196617 RXO196617:RXV196617 SHK196617:SHR196617 SRG196617:SRN196617 TBC196617:TBJ196617 TKY196617:TLF196617 TUU196617:TVB196617 UEQ196617:UEX196617 UOM196617:UOT196617 UYI196617:UYP196617 VIE196617:VIL196617 VSA196617:VSH196617 WBW196617:WCD196617 WLS196617:WLZ196617 WVO196617:WVV196617 G262153:N262153 JC262153:JJ262153 SY262153:TF262153 ACU262153:ADB262153 AMQ262153:AMX262153 AWM262153:AWT262153 BGI262153:BGP262153 BQE262153:BQL262153 CAA262153:CAH262153 CJW262153:CKD262153 CTS262153:CTZ262153 DDO262153:DDV262153 DNK262153:DNR262153 DXG262153:DXN262153 EHC262153:EHJ262153 EQY262153:ERF262153 FAU262153:FBB262153 FKQ262153:FKX262153 FUM262153:FUT262153 GEI262153:GEP262153 GOE262153:GOL262153 GYA262153:GYH262153 HHW262153:HID262153 HRS262153:HRZ262153 IBO262153:IBV262153 ILK262153:ILR262153 IVG262153:IVN262153 JFC262153:JFJ262153 JOY262153:JPF262153 JYU262153:JZB262153 KIQ262153:KIX262153 KSM262153:KST262153 LCI262153:LCP262153 LME262153:LML262153 LWA262153:LWH262153 MFW262153:MGD262153 MPS262153:MPZ262153 MZO262153:MZV262153 NJK262153:NJR262153 NTG262153:NTN262153 ODC262153:ODJ262153 OMY262153:ONF262153 OWU262153:OXB262153 PGQ262153:PGX262153 PQM262153:PQT262153 QAI262153:QAP262153 QKE262153:QKL262153 QUA262153:QUH262153 RDW262153:RED262153 RNS262153:RNZ262153 RXO262153:RXV262153 SHK262153:SHR262153 SRG262153:SRN262153 TBC262153:TBJ262153 TKY262153:TLF262153 TUU262153:TVB262153 UEQ262153:UEX262153 UOM262153:UOT262153 UYI262153:UYP262153 VIE262153:VIL262153 VSA262153:VSH262153 WBW262153:WCD262153 WLS262153:WLZ262153 WVO262153:WVV262153 G327689:N327689 JC327689:JJ327689 SY327689:TF327689 ACU327689:ADB327689 AMQ327689:AMX327689 AWM327689:AWT327689 BGI327689:BGP327689 BQE327689:BQL327689 CAA327689:CAH327689 CJW327689:CKD327689 CTS327689:CTZ327689 DDO327689:DDV327689 DNK327689:DNR327689 DXG327689:DXN327689 EHC327689:EHJ327689 EQY327689:ERF327689 FAU327689:FBB327689 FKQ327689:FKX327689 FUM327689:FUT327689 GEI327689:GEP327689 GOE327689:GOL327689 GYA327689:GYH327689 HHW327689:HID327689 HRS327689:HRZ327689 IBO327689:IBV327689 ILK327689:ILR327689 IVG327689:IVN327689 JFC327689:JFJ327689 JOY327689:JPF327689 JYU327689:JZB327689 KIQ327689:KIX327689 KSM327689:KST327689 LCI327689:LCP327689 LME327689:LML327689 LWA327689:LWH327689 MFW327689:MGD327689 MPS327689:MPZ327689 MZO327689:MZV327689 NJK327689:NJR327689 NTG327689:NTN327689 ODC327689:ODJ327689 OMY327689:ONF327689 OWU327689:OXB327689 PGQ327689:PGX327689 PQM327689:PQT327689 QAI327689:QAP327689 QKE327689:QKL327689 QUA327689:QUH327689 RDW327689:RED327689 RNS327689:RNZ327689 RXO327689:RXV327689 SHK327689:SHR327689 SRG327689:SRN327689 TBC327689:TBJ327689 TKY327689:TLF327689 TUU327689:TVB327689 UEQ327689:UEX327689 UOM327689:UOT327689 UYI327689:UYP327689 VIE327689:VIL327689 VSA327689:VSH327689 WBW327689:WCD327689 WLS327689:WLZ327689 WVO327689:WVV327689 G393225:N393225 JC393225:JJ393225 SY393225:TF393225 ACU393225:ADB393225 AMQ393225:AMX393225 AWM393225:AWT393225 BGI393225:BGP393225 BQE393225:BQL393225 CAA393225:CAH393225 CJW393225:CKD393225 CTS393225:CTZ393225 DDO393225:DDV393225 DNK393225:DNR393225 DXG393225:DXN393225 EHC393225:EHJ393225 EQY393225:ERF393225 FAU393225:FBB393225 FKQ393225:FKX393225 FUM393225:FUT393225 GEI393225:GEP393225 GOE393225:GOL393225 GYA393225:GYH393225 HHW393225:HID393225 HRS393225:HRZ393225 IBO393225:IBV393225 ILK393225:ILR393225 IVG393225:IVN393225 JFC393225:JFJ393225 JOY393225:JPF393225 JYU393225:JZB393225 KIQ393225:KIX393225 KSM393225:KST393225 LCI393225:LCP393225 LME393225:LML393225 LWA393225:LWH393225 MFW393225:MGD393225 MPS393225:MPZ393225 MZO393225:MZV393225 NJK393225:NJR393225 NTG393225:NTN393225 ODC393225:ODJ393225 OMY393225:ONF393225 OWU393225:OXB393225 PGQ393225:PGX393225 PQM393225:PQT393225 QAI393225:QAP393225 QKE393225:QKL393225 QUA393225:QUH393225 RDW393225:RED393225 RNS393225:RNZ393225 RXO393225:RXV393225 SHK393225:SHR393225 SRG393225:SRN393225 TBC393225:TBJ393225 TKY393225:TLF393225 TUU393225:TVB393225 UEQ393225:UEX393225 UOM393225:UOT393225 UYI393225:UYP393225 VIE393225:VIL393225 VSA393225:VSH393225 WBW393225:WCD393225 WLS393225:WLZ393225 WVO393225:WVV393225 G458761:N458761 JC458761:JJ458761 SY458761:TF458761 ACU458761:ADB458761 AMQ458761:AMX458761 AWM458761:AWT458761 BGI458761:BGP458761 BQE458761:BQL458761 CAA458761:CAH458761 CJW458761:CKD458761 CTS458761:CTZ458761 DDO458761:DDV458761 DNK458761:DNR458761 DXG458761:DXN458761 EHC458761:EHJ458761 EQY458761:ERF458761 FAU458761:FBB458761 FKQ458761:FKX458761 FUM458761:FUT458761 GEI458761:GEP458761 GOE458761:GOL458761 GYA458761:GYH458761 HHW458761:HID458761 HRS458761:HRZ458761 IBO458761:IBV458761 ILK458761:ILR458761 IVG458761:IVN458761 JFC458761:JFJ458761 JOY458761:JPF458761 JYU458761:JZB458761 KIQ458761:KIX458761 KSM458761:KST458761 LCI458761:LCP458761 LME458761:LML458761 LWA458761:LWH458761 MFW458761:MGD458761 MPS458761:MPZ458761 MZO458761:MZV458761 NJK458761:NJR458761 NTG458761:NTN458761 ODC458761:ODJ458761 OMY458761:ONF458761 OWU458761:OXB458761 PGQ458761:PGX458761 PQM458761:PQT458761 QAI458761:QAP458761 QKE458761:QKL458761 QUA458761:QUH458761 RDW458761:RED458761 RNS458761:RNZ458761 RXO458761:RXV458761 SHK458761:SHR458761 SRG458761:SRN458761 TBC458761:TBJ458761 TKY458761:TLF458761 TUU458761:TVB458761 UEQ458761:UEX458761 UOM458761:UOT458761 UYI458761:UYP458761 VIE458761:VIL458761 VSA458761:VSH458761 WBW458761:WCD458761 WLS458761:WLZ458761 WVO458761:WVV458761 G524297:N524297 JC524297:JJ524297 SY524297:TF524297 ACU524297:ADB524297 AMQ524297:AMX524297 AWM524297:AWT524297 BGI524297:BGP524297 BQE524297:BQL524297 CAA524297:CAH524297 CJW524297:CKD524297 CTS524297:CTZ524297 DDO524297:DDV524297 DNK524297:DNR524297 DXG524297:DXN524297 EHC524297:EHJ524297 EQY524297:ERF524297 FAU524297:FBB524297 FKQ524297:FKX524297 FUM524297:FUT524297 GEI524297:GEP524297 GOE524297:GOL524297 GYA524297:GYH524297 HHW524297:HID524297 HRS524297:HRZ524297 IBO524297:IBV524297 ILK524297:ILR524297 IVG524297:IVN524297 JFC524297:JFJ524297 JOY524297:JPF524297 JYU524297:JZB524297 KIQ524297:KIX524297 KSM524297:KST524297 LCI524297:LCP524297 LME524297:LML524297 LWA524297:LWH524297 MFW524297:MGD524297 MPS524297:MPZ524297 MZO524297:MZV524297 NJK524297:NJR524297 NTG524297:NTN524297 ODC524297:ODJ524297 OMY524297:ONF524297 OWU524297:OXB524297 PGQ524297:PGX524297 PQM524297:PQT524297 QAI524297:QAP524297 QKE524297:QKL524297 QUA524297:QUH524297 RDW524297:RED524297 RNS524297:RNZ524297 RXO524297:RXV524297 SHK524297:SHR524297 SRG524297:SRN524297 TBC524297:TBJ524297 TKY524297:TLF524297 TUU524297:TVB524297 UEQ524297:UEX524297 UOM524297:UOT524297 UYI524297:UYP524297 VIE524297:VIL524297 VSA524297:VSH524297 WBW524297:WCD524297 WLS524297:WLZ524297 WVO524297:WVV524297 G589833:N589833 JC589833:JJ589833 SY589833:TF589833 ACU589833:ADB589833 AMQ589833:AMX589833 AWM589833:AWT589833 BGI589833:BGP589833 BQE589833:BQL589833 CAA589833:CAH589833 CJW589833:CKD589833 CTS589833:CTZ589833 DDO589833:DDV589833 DNK589833:DNR589833 DXG589833:DXN589833 EHC589833:EHJ589833 EQY589833:ERF589833 FAU589833:FBB589833 FKQ589833:FKX589833 FUM589833:FUT589833 GEI589833:GEP589833 GOE589833:GOL589833 GYA589833:GYH589833 HHW589833:HID589833 HRS589833:HRZ589833 IBO589833:IBV589833 ILK589833:ILR589833 IVG589833:IVN589833 JFC589833:JFJ589833 JOY589833:JPF589833 JYU589833:JZB589833 KIQ589833:KIX589833 KSM589833:KST589833 LCI589833:LCP589833 LME589833:LML589833 LWA589833:LWH589833 MFW589833:MGD589833 MPS589833:MPZ589833 MZO589833:MZV589833 NJK589833:NJR589833 NTG589833:NTN589833 ODC589833:ODJ589833 OMY589833:ONF589833 OWU589833:OXB589833 PGQ589833:PGX589833 PQM589833:PQT589833 QAI589833:QAP589833 QKE589833:QKL589833 QUA589833:QUH589833 RDW589833:RED589833 RNS589833:RNZ589833 RXO589833:RXV589833 SHK589833:SHR589833 SRG589833:SRN589833 TBC589833:TBJ589833 TKY589833:TLF589833 TUU589833:TVB589833 UEQ589833:UEX589833 UOM589833:UOT589833 UYI589833:UYP589833 VIE589833:VIL589833 VSA589833:VSH589833 WBW589833:WCD589833 WLS589833:WLZ589833 WVO589833:WVV589833 G655369:N655369 JC655369:JJ655369 SY655369:TF655369 ACU655369:ADB655369 AMQ655369:AMX655369 AWM655369:AWT655369 BGI655369:BGP655369 BQE655369:BQL655369 CAA655369:CAH655369 CJW655369:CKD655369 CTS655369:CTZ655369 DDO655369:DDV655369 DNK655369:DNR655369 DXG655369:DXN655369 EHC655369:EHJ655369 EQY655369:ERF655369 FAU655369:FBB655369 FKQ655369:FKX655369 FUM655369:FUT655369 GEI655369:GEP655369 GOE655369:GOL655369 GYA655369:GYH655369 HHW655369:HID655369 HRS655369:HRZ655369 IBO655369:IBV655369 ILK655369:ILR655369 IVG655369:IVN655369 JFC655369:JFJ655369 JOY655369:JPF655369 JYU655369:JZB655369 KIQ655369:KIX655369 KSM655369:KST655369 LCI655369:LCP655369 LME655369:LML655369 LWA655369:LWH655369 MFW655369:MGD655369 MPS655369:MPZ655369 MZO655369:MZV655369 NJK655369:NJR655369 NTG655369:NTN655369 ODC655369:ODJ655369 OMY655369:ONF655369 OWU655369:OXB655369 PGQ655369:PGX655369 PQM655369:PQT655369 QAI655369:QAP655369 QKE655369:QKL655369 QUA655369:QUH655369 RDW655369:RED655369 RNS655369:RNZ655369 RXO655369:RXV655369 SHK655369:SHR655369 SRG655369:SRN655369 TBC655369:TBJ655369 TKY655369:TLF655369 TUU655369:TVB655369 UEQ655369:UEX655369 UOM655369:UOT655369 UYI655369:UYP655369 VIE655369:VIL655369 VSA655369:VSH655369 WBW655369:WCD655369 WLS655369:WLZ655369 WVO655369:WVV655369 G720905:N720905 JC720905:JJ720905 SY720905:TF720905 ACU720905:ADB720905 AMQ720905:AMX720905 AWM720905:AWT720905 BGI720905:BGP720905 BQE720905:BQL720905 CAA720905:CAH720905 CJW720905:CKD720905 CTS720905:CTZ720905 DDO720905:DDV720905 DNK720905:DNR720905 DXG720905:DXN720905 EHC720905:EHJ720905 EQY720905:ERF720905 FAU720905:FBB720905 FKQ720905:FKX720905 FUM720905:FUT720905 GEI720905:GEP720905 GOE720905:GOL720905 GYA720905:GYH720905 HHW720905:HID720905 HRS720905:HRZ720905 IBO720905:IBV720905 ILK720905:ILR720905 IVG720905:IVN720905 JFC720905:JFJ720905 JOY720905:JPF720905 JYU720905:JZB720905 KIQ720905:KIX720905 KSM720905:KST720905 LCI720905:LCP720905 LME720905:LML720905 LWA720905:LWH720905 MFW720905:MGD720905 MPS720905:MPZ720905 MZO720905:MZV720905 NJK720905:NJR720905 NTG720905:NTN720905 ODC720905:ODJ720905 OMY720905:ONF720905 OWU720905:OXB720905 PGQ720905:PGX720905 PQM720905:PQT720905 QAI720905:QAP720905 QKE720905:QKL720905 QUA720905:QUH720905 RDW720905:RED720905 RNS720905:RNZ720905 RXO720905:RXV720905 SHK720905:SHR720905 SRG720905:SRN720905 TBC720905:TBJ720905 TKY720905:TLF720905 TUU720905:TVB720905 UEQ720905:UEX720905 UOM720905:UOT720905 UYI720905:UYP720905 VIE720905:VIL720905 VSA720905:VSH720905 WBW720905:WCD720905 WLS720905:WLZ720905 WVO720905:WVV720905 G786441:N786441 JC786441:JJ786441 SY786441:TF786441 ACU786441:ADB786441 AMQ786441:AMX786441 AWM786441:AWT786441 BGI786441:BGP786441 BQE786441:BQL786441 CAA786441:CAH786441 CJW786441:CKD786441 CTS786441:CTZ786441 DDO786441:DDV786441 DNK786441:DNR786441 DXG786441:DXN786441 EHC786441:EHJ786441 EQY786441:ERF786441 FAU786441:FBB786441 FKQ786441:FKX786441 FUM786441:FUT786441 GEI786441:GEP786441 GOE786441:GOL786441 GYA786441:GYH786441 HHW786441:HID786441 HRS786441:HRZ786441 IBO786441:IBV786441 ILK786441:ILR786441 IVG786441:IVN786441 JFC786441:JFJ786441 JOY786441:JPF786441 JYU786441:JZB786441 KIQ786441:KIX786441 KSM786441:KST786441 LCI786441:LCP786441 LME786441:LML786441 LWA786441:LWH786441 MFW786441:MGD786441 MPS786441:MPZ786441 MZO786441:MZV786441 NJK786441:NJR786441 NTG786441:NTN786441 ODC786441:ODJ786441 OMY786441:ONF786441 OWU786441:OXB786441 PGQ786441:PGX786441 PQM786441:PQT786441 QAI786441:QAP786441 QKE786441:QKL786441 QUA786441:QUH786441 RDW786441:RED786441 RNS786441:RNZ786441 RXO786441:RXV786441 SHK786441:SHR786441 SRG786441:SRN786441 TBC786441:TBJ786441 TKY786441:TLF786441 TUU786441:TVB786441 UEQ786441:UEX786441 UOM786441:UOT786441 UYI786441:UYP786441 VIE786441:VIL786441 VSA786441:VSH786441 WBW786441:WCD786441 WLS786441:WLZ786441 WVO786441:WVV786441 G851977:N851977 JC851977:JJ851977 SY851977:TF851977 ACU851977:ADB851977 AMQ851977:AMX851977 AWM851977:AWT851977 BGI851977:BGP851977 BQE851977:BQL851977 CAA851977:CAH851977 CJW851977:CKD851977 CTS851977:CTZ851977 DDO851977:DDV851977 DNK851977:DNR851977 DXG851977:DXN851977 EHC851977:EHJ851977 EQY851977:ERF851977 FAU851977:FBB851977 FKQ851977:FKX851977 FUM851977:FUT851977 GEI851977:GEP851977 GOE851977:GOL851977 GYA851977:GYH851977 HHW851977:HID851977 HRS851977:HRZ851977 IBO851977:IBV851977 ILK851977:ILR851977 IVG851977:IVN851977 JFC851977:JFJ851977 JOY851977:JPF851977 JYU851977:JZB851977 KIQ851977:KIX851977 KSM851977:KST851977 LCI851977:LCP851977 LME851977:LML851977 LWA851977:LWH851977 MFW851977:MGD851977 MPS851977:MPZ851977 MZO851977:MZV851977 NJK851977:NJR851977 NTG851977:NTN851977 ODC851977:ODJ851977 OMY851977:ONF851977 OWU851977:OXB851977 PGQ851977:PGX851977 PQM851977:PQT851977 QAI851977:QAP851977 QKE851977:QKL851977 QUA851977:QUH851977 RDW851977:RED851977 RNS851977:RNZ851977 RXO851977:RXV851977 SHK851977:SHR851977 SRG851977:SRN851977 TBC851977:TBJ851977 TKY851977:TLF851977 TUU851977:TVB851977 UEQ851977:UEX851977 UOM851977:UOT851977 UYI851977:UYP851977 VIE851977:VIL851977 VSA851977:VSH851977 WBW851977:WCD851977 WLS851977:WLZ851977 WVO851977:WVV851977 G917513:N917513 JC917513:JJ917513 SY917513:TF917513 ACU917513:ADB917513 AMQ917513:AMX917513 AWM917513:AWT917513 BGI917513:BGP917513 BQE917513:BQL917513 CAA917513:CAH917513 CJW917513:CKD917513 CTS917513:CTZ917513 DDO917513:DDV917513 DNK917513:DNR917513 DXG917513:DXN917513 EHC917513:EHJ917513 EQY917513:ERF917513 FAU917513:FBB917513 FKQ917513:FKX917513 FUM917513:FUT917513 GEI917513:GEP917513 GOE917513:GOL917513 GYA917513:GYH917513 HHW917513:HID917513 HRS917513:HRZ917513 IBO917513:IBV917513 ILK917513:ILR917513 IVG917513:IVN917513 JFC917513:JFJ917513 JOY917513:JPF917513 JYU917513:JZB917513 KIQ917513:KIX917513 KSM917513:KST917513 LCI917513:LCP917513 LME917513:LML917513 LWA917513:LWH917513 MFW917513:MGD917513 MPS917513:MPZ917513 MZO917513:MZV917513 NJK917513:NJR917513 NTG917513:NTN917513 ODC917513:ODJ917513 OMY917513:ONF917513 OWU917513:OXB917513 PGQ917513:PGX917513 PQM917513:PQT917513 QAI917513:QAP917513 QKE917513:QKL917513 QUA917513:QUH917513 RDW917513:RED917513 RNS917513:RNZ917513 RXO917513:RXV917513 SHK917513:SHR917513 SRG917513:SRN917513 TBC917513:TBJ917513 TKY917513:TLF917513 TUU917513:TVB917513 UEQ917513:UEX917513 UOM917513:UOT917513 UYI917513:UYP917513 VIE917513:VIL917513 VSA917513:VSH917513 WBW917513:WCD917513 WLS917513:WLZ917513 WVO917513:WVV917513 G983049:N983049 JC983049:JJ983049 SY983049:TF983049 ACU983049:ADB983049 AMQ983049:AMX983049 AWM983049:AWT983049 BGI983049:BGP983049 BQE983049:BQL983049 CAA983049:CAH983049 CJW983049:CKD983049 CTS983049:CTZ983049 DDO983049:DDV983049 DNK983049:DNR983049 DXG983049:DXN983049 EHC983049:EHJ983049 EQY983049:ERF983049 FAU983049:FBB983049 FKQ983049:FKX983049 FUM983049:FUT983049 GEI983049:GEP983049 GOE983049:GOL983049 GYA983049:GYH983049 HHW983049:HID983049 HRS983049:HRZ983049 IBO983049:IBV983049 ILK983049:ILR983049 IVG983049:IVN983049 JFC983049:JFJ983049 JOY983049:JPF983049 JYU983049:JZB983049 KIQ983049:KIX983049 KSM983049:KST983049 LCI983049:LCP983049 LME983049:LML983049 LWA983049:LWH983049 MFW983049:MGD983049 MPS983049:MPZ983049 MZO983049:MZV983049 NJK983049:NJR983049 NTG983049:NTN983049 ODC983049:ODJ983049 OMY983049:ONF983049 OWU983049:OXB983049 PGQ983049:PGX983049 PQM983049:PQT983049 QAI983049:QAP983049 QKE983049:QKL983049 QUA983049:QUH983049 RDW983049:RED983049 RNS983049:RNZ983049 RXO983049:RXV983049 SHK983049:SHR983049 SRG983049:SRN983049 TBC983049:TBJ983049 TKY983049:TLF983049 TUU983049:TVB983049 UEQ983049:UEX983049 UOM983049:UOT983049 UYI983049:UYP983049 VIE983049:VIL983049 VSA983049:VSH983049 WBW983049:WCD983049 WLS983049:WLZ983049 WVO983049:WVV983049" xr:uid="{00000000-0002-0000-0100-000002000000}">
      <formula1>"改修,新営"</formula1>
    </dataValidation>
    <dataValidation type="list" allowBlank="1" showInputMessage="1" showErrorMessage="1" sqref="G305:N305 JC305:JJ305 SY305:TF305 ACU305:ADB305 AMQ305:AMX305 AWM305:AWT305 BGI305:BGP305 BQE305:BQL305 CAA305:CAH305 CJW305:CKD305 CTS305:CTZ305 DDO305:DDV305 DNK305:DNR305 DXG305:DXN305 EHC305:EHJ305 EQY305:ERF305 FAU305:FBB305 FKQ305:FKX305 FUM305:FUT305 GEI305:GEP305 GOE305:GOL305 GYA305:GYH305 HHW305:HID305 HRS305:HRZ305 IBO305:IBV305 ILK305:ILR305 IVG305:IVN305 JFC305:JFJ305 JOY305:JPF305 JYU305:JZB305 KIQ305:KIX305 KSM305:KST305 LCI305:LCP305 LME305:LML305 LWA305:LWH305 MFW305:MGD305 MPS305:MPZ305 MZO305:MZV305 NJK305:NJR305 NTG305:NTN305 ODC305:ODJ305 OMY305:ONF305 OWU305:OXB305 PGQ305:PGX305 PQM305:PQT305 QAI305:QAP305 QKE305:QKL305 QUA305:QUH305 RDW305:RED305 RNS305:RNZ305 RXO305:RXV305 SHK305:SHR305 SRG305:SRN305 TBC305:TBJ305 TKY305:TLF305 TUU305:TVB305 UEQ305:UEX305 UOM305:UOT305 UYI305:UYP305 VIE305:VIL305 VSA305:VSH305 WBW305:WCD305 WLS305:WLZ305 WVO305:WVV305 G65841:N65841 JC65841:JJ65841 SY65841:TF65841 ACU65841:ADB65841 AMQ65841:AMX65841 AWM65841:AWT65841 BGI65841:BGP65841 BQE65841:BQL65841 CAA65841:CAH65841 CJW65841:CKD65841 CTS65841:CTZ65841 DDO65841:DDV65841 DNK65841:DNR65841 DXG65841:DXN65841 EHC65841:EHJ65841 EQY65841:ERF65841 FAU65841:FBB65841 FKQ65841:FKX65841 FUM65841:FUT65841 GEI65841:GEP65841 GOE65841:GOL65841 GYA65841:GYH65841 HHW65841:HID65841 HRS65841:HRZ65841 IBO65841:IBV65841 ILK65841:ILR65841 IVG65841:IVN65841 JFC65841:JFJ65841 JOY65841:JPF65841 JYU65841:JZB65841 KIQ65841:KIX65841 KSM65841:KST65841 LCI65841:LCP65841 LME65841:LML65841 LWA65841:LWH65841 MFW65841:MGD65841 MPS65841:MPZ65841 MZO65841:MZV65841 NJK65841:NJR65841 NTG65841:NTN65841 ODC65841:ODJ65841 OMY65841:ONF65841 OWU65841:OXB65841 PGQ65841:PGX65841 PQM65841:PQT65841 QAI65841:QAP65841 QKE65841:QKL65841 QUA65841:QUH65841 RDW65841:RED65841 RNS65841:RNZ65841 RXO65841:RXV65841 SHK65841:SHR65841 SRG65841:SRN65841 TBC65841:TBJ65841 TKY65841:TLF65841 TUU65841:TVB65841 UEQ65841:UEX65841 UOM65841:UOT65841 UYI65841:UYP65841 VIE65841:VIL65841 VSA65841:VSH65841 WBW65841:WCD65841 WLS65841:WLZ65841 WVO65841:WVV65841 G131377:N131377 JC131377:JJ131377 SY131377:TF131377 ACU131377:ADB131377 AMQ131377:AMX131377 AWM131377:AWT131377 BGI131377:BGP131377 BQE131377:BQL131377 CAA131377:CAH131377 CJW131377:CKD131377 CTS131377:CTZ131377 DDO131377:DDV131377 DNK131377:DNR131377 DXG131377:DXN131377 EHC131377:EHJ131377 EQY131377:ERF131377 FAU131377:FBB131377 FKQ131377:FKX131377 FUM131377:FUT131377 GEI131377:GEP131377 GOE131377:GOL131377 GYA131377:GYH131377 HHW131377:HID131377 HRS131377:HRZ131377 IBO131377:IBV131377 ILK131377:ILR131377 IVG131377:IVN131377 JFC131377:JFJ131377 JOY131377:JPF131377 JYU131377:JZB131377 KIQ131377:KIX131377 KSM131377:KST131377 LCI131377:LCP131377 LME131377:LML131377 LWA131377:LWH131377 MFW131377:MGD131377 MPS131377:MPZ131377 MZO131377:MZV131377 NJK131377:NJR131377 NTG131377:NTN131377 ODC131377:ODJ131377 OMY131377:ONF131377 OWU131377:OXB131377 PGQ131377:PGX131377 PQM131377:PQT131377 QAI131377:QAP131377 QKE131377:QKL131377 QUA131377:QUH131377 RDW131377:RED131377 RNS131377:RNZ131377 RXO131377:RXV131377 SHK131377:SHR131377 SRG131377:SRN131377 TBC131377:TBJ131377 TKY131377:TLF131377 TUU131377:TVB131377 UEQ131377:UEX131377 UOM131377:UOT131377 UYI131377:UYP131377 VIE131377:VIL131377 VSA131377:VSH131377 WBW131377:WCD131377 WLS131377:WLZ131377 WVO131377:WVV131377 G196913:N196913 JC196913:JJ196913 SY196913:TF196913 ACU196913:ADB196913 AMQ196913:AMX196913 AWM196913:AWT196913 BGI196913:BGP196913 BQE196913:BQL196913 CAA196913:CAH196913 CJW196913:CKD196913 CTS196913:CTZ196913 DDO196913:DDV196913 DNK196913:DNR196913 DXG196913:DXN196913 EHC196913:EHJ196913 EQY196913:ERF196913 FAU196913:FBB196913 FKQ196913:FKX196913 FUM196913:FUT196913 GEI196913:GEP196913 GOE196913:GOL196913 GYA196913:GYH196913 HHW196913:HID196913 HRS196913:HRZ196913 IBO196913:IBV196913 ILK196913:ILR196913 IVG196913:IVN196913 JFC196913:JFJ196913 JOY196913:JPF196913 JYU196913:JZB196913 KIQ196913:KIX196913 KSM196913:KST196913 LCI196913:LCP196913 LME196913:LML196913 LWA196913:LWH196913 MFW196913:MGD196913 MPS196913:MPZ196913 MZO196913:MZV196913 NJK196913:NJR196913 NTG196913:NTN196913 ODC196913:ODJ196913 OMY196913:ONF196913 OWU196913:OXB196913 PGQ196913:PGX196913 PQM196913:PQT196913 QAI196913:QAP196913 QKE196913:QKL196913 QUA196913:QUH196913 RDW196913:RED196913 RNS196913:RNZ196913 RXO196913:RXV196913 SHK196913:SHR196913 SRG196913:SRN196913 TBC196913:TBJ196913 TKY196913:TLF196913 TUU196913:TVB196913 UEQ196913:UEX196913 UOM196913:UOT196913 UYI196913:UYP196913 VIE196913:VIL196913 VSA196913:VSH196913 WBW196913:WCD196913 WLS196913:WLZ196913 WVO196913:WVV196913 G262449:N262449 JC262449:JJ262449 SY262449:TF262449 ACU262449:ADB262449 AMQ262449:AMX262449 AWM262449:AWT262449 BGI262449:BGP262449 BQE262449:BQL262449 CAA262449:CAH262449 CJW262449:CKD262449 CTS262449:CTZ262449 DDO262449:DDV262449 DNK262449:DNR262449 DXG262449:DXN262449 EHC262449:EHJ262449 EQY262449:ERF262449 FAU262449:FBB262449 FKQ262449:FKX262449 FUM262449:FUT262449 GEI262449:GEP262449 GOE262449:GOL262449 GYA262449:GYH262449 HHW262449:HID262449 HRS262449:HRZ262449 IBO262449:IBV262449 ILK262449:ILR262449 IVG262449:IVN262449 JFC262449:JFJ262449 JOY262449:JPF262449 JYU262449:JZB262449 KIQ262449:KIX262449 KSM262449:KST262449 LCI262449:LCP262449 LME262449:LML262449 LWA262449:LWH262449 MFW262449:MGD262449 MPS262449:MPZ262449 MZO262449:MZV262449 NJK262449:NJR262449 NTG262449:NTN262449 ODC262449:ODJ262449 OMY262449:ONF262449 OWU262449:OXB262449 PGQ262449:PGX262449 PQM262449:PQT262449 QAI262449:QAP262449 QKE262449:QKL262449 QUA262449:QUH262449 RDW262449:RED262449 RNS262449:RNZ262449 RXO262449:RXV262449 SHK262449:SHR262449 SRG262449:SRN262449 TBC262449:TBJ262449 TKY262449:TLF262449 TUU262449:TVB262449 UEQ262449:UEX262449 UOM262449:UOT262449 UYI262449:UYP262449 VIE262449:VIL262449 VSA262449:VSH262449 WBW262449:WCD262449 WLS262449:WLZ262449 WVO262449:WVV262449 G327985:N327985 JC327985:JJ327985 SY327985:TF327985 ACU327985:ADB327985 AMQ327985:AMX327985 AWM327985:AWT327985 BGI327985:BGP327985 BQE327985:BQL327985 CAA327985:CAH327985 CJW327985:CKD327985 CTS327985:CTZ327985 DDO327985:DDV327985 DNK327985:DNR327985 DXG327985:DXN327985 EHC327985:EHJ327985 EQY327985:ERF327985 FAU327985:FBB327985 FKQ327985:FKX327985 FUM327985:FUT327985 GEI327985:GEP327985 GOE327985:GOL327985 GYA327985:GYH327985 HHW327985:HID327985 HRS327985:HRZ327985 IBO327985:IBV327985 ILK327985:ILR327985 IVG327985:IVN327985 JFC327985:JFJ327985 JOY327985:JPF327985 JYU327985:JZB327985 KIQ327985:KIX327985 KSM327985:KST327985 LCI327985:LCP327985 LME327985:LML327985 LWA327985:LWH327985 MFW327985:MGD327985 MPS327985:MPZ327985 MZO327985:MZV327985 NJK327985:NJR327985 NTG327985:NTN327985 ODC327985:ODJ327985 OMY327985:ONF327985 OWU327985:OXB327985 PGQ327985:PGX327985 PQM327985:PQT327985 QAI327985:QAP327985 QKE327985:QKL327985 QUA327985:QUH327985 RDW327985:RED327985 RNS327985:RNZ327985 RXO327985:RXV327985 SHK327985:SHR327985 SRG327985:SRN327985 TBC327985:TBJ327985 TKY327985:TLF327985 TUU327985:TVB327985 UEQ327985:UEX327985 UOM327985:UOT327985 UYI327985:UYP327985 VIE327985:VIL327985 VSA327985:VSH327985 WBW327985:WCD327985 WLS327985:WLZ327985 WVO327985:WVV327985 G393521:N393521 JC393521:JJ393521 SY393521:TF393521 ACU393521:ADB393521 AMQ393521:AMX393521 AWM393521:AWT393521 BGI393521:BGP393521 BQE393521:BQL393521 CAA393521:CAH393521 CJW393521:CKD393521 CTS393521:CTZ393521 DDO393521:DDV393521 DNK393521:DNR393521 DXG393521:DXN393521 EHC393521:EHJ393521 EQY393521:ERF393521 FAU393521:FBB393521 FKQ393521:FKX393521 FUM393521:FUT393521 GEI393521:GEP393521 GOE393521:GOL393521 GYA393521:GYH393521 HHW393521:HID393521 HRS393521:HRZ393521 IBO393521:IBV393521 ILK393521:ILR393521 IVG393521:IVN393521 JFC393521:JFJ393521 JOY393521:JPF393521 JYU393521:JZB393521 KIQ393521:KIX393521 KSM393521:KST393521 LCI393521:LCP393521 LME393521:LML393521 LWA393521:LWH393521 MFW393521:MGD393521 MPS393521:MPZ393521 MZO393521:MZV393521 NJK393521:NJR393521 NTG393521:NTN393521 ODC393521:ODJ393521 OMY393521:ONF393521 OWU393521:OXB393521 PGQ393521:PGX393521 PQM393521:PQT393521 QAI393521:QAP393521 QKE393521:QKL393521 QUA393521:QUH393521 RDW393521:RED393521 RNS393521:RNZ393521 RXO393521:RXV393521 SHK393521:SHR393521 SRG393521:SRN393521 TBC393521:TBJ393521 TKY393521:TLF393521 TUU393521:TVB393521 UEQ393521:UEX393521 UOM393521:UOT393521 UYI393521:UYP393521 VIE393521:VIL393521 VSA393521:VSH393521 WBW393521:WCD393521 WLS393521:WLZ393521 WVO393521:WVV393521 G459057:N459057 JC459057:JJ459057 SY459057:TF459057 ACU459057:ADB459057 AMQ459057:AMX459057 AWM459057:AWT459057 BGI459057:BGP459057 BQE459057:BQL459057 CAA459057:CAH459057 CJW459057:CKD459057 CTS459057:CTZ459057 DDO459057:DDV459057 DNK459057:DNR459057 DXG459057:DXN459057 EHC459057:EHJ459057 EQY459057:ERF459057 FAU459057:FBB459057 FKQ459057:FKX459057 FUM459057:FUT459057 GEI459057:GEP459057 GOE459057:GOL459057 GYA459057:GYH459057 HHW459057:HID459057 HRS459057:HRZ459057 IBO459057:IBV459057 ILK459057:ILR459057 IVG459057:IVN459057 JFC459057:JFJ459057 JOY459057:JPF459057 JYU459057:JZB459057 KIQ459057:KIX459057 KSM459057:KST459057 LCI459057:LCP459057 LME459057:LML459057 LWA459057:LWH459057 MFW459057:MGD459057 MPS459057:MPZ459057 MZO459057:MZV459057 NJK459057:NJR459057 NTG459057:NTN459057 ODC459057:ODJ459057 OMY459057:ONF459057 OWU459057:OXB459057 PGQ459057:PGX459057 PQM459057:PQT459057 QAI459057:QAP459057 QKE459057:QKL459057 QUA459057:QUH459057 RDW459057:RED459057 RNS459057:RNZ459057 RXO459057:RXV459057 SHK459057:SHR459057 SRG459057:SRN459057 TBC459057:TBJ459057 TKY459057:TLF459057 TUU459057:TVB459057 UEQ459057:UEX459057 UOM459057:UOT459057 UYI459057:UYP459057 VIE459057:VIL459057 VSA459057:VSH459057 WBW459057:WCD459057 WLS459057:WLZ459057 WVO459057:WVV459057 G524593:N524593 JC524593:JJ524593 SY524593:TF524593 ACU524593:ADB524593 AMQ524593:AMX524593 AWM524593:AWT524593 BGI524593:BGP524593 BQE524593:BQL524593 CAA524593:CAH524593 CJW524593:CKD524593 CTS524593:CTZ524593 DDO524593:DDV524593 DNK524593:DNR524593 DXG524593:DXN524593 EHC524593:EHJ524593 EQY524593:ERF524593 FAU524593:FBB524593 FKQ524593:FKX524593 FUM524593:FUT524593 GEI524593:GEP524593 GOE524593:GOL524593 GYA524593:GYH524593 HHW524593:HID524593 HRS524593:HRZ524593 IBO524593:IBV524593 ILK524593:ILR524593 IVG524593:IVN524593 JFC524593:JFJ524593 JOY524593:JPF524593 JYU524593:JZB524593 KIQ524593:KIX524593 KSM524593:KST524593 LCI524593:LCP524593 LME524593:LML524593 LWA524593:LWH524593 MFW524593:MGD524593 MPS524593:MPZ524593 MZO524593:MZV524593 NJK524593:NJR524593 NTG524593:NTN524593 ODC524593:ODJ524593 OMY524593:ONF524593 OWU524593:OXB524593 PGQ524593:PGX524593 PQM524593:PQT524593 QAI524593:QAP524593 QKE524593:QKL524593 QUA524593:QUH524593 RDW524593:RED524593 RNS524593:RNZ524593 RXO524593:RXV524593 SHK524593:SHR524593 SRG524593:SRN524593 TBC524593:TBJ524593 TKY524593:TLF524593 TUU524593:TVB524593 UEQ524593:UEX524593 UOM524593:UOT524593 UYI524593:UYP524593 VIE524593:VIL524593 VSA524593:VSH524593 WBW524593:WCD524593 WLS524593:WLZ524593 WVO524593:WVV524593 G590129:N590129 JC590129:JJ590129 SY590129:TF590129 ACU590129:ADB590129 AMQ590129:AMX590129 AWM590129:AWT590129 BGI590129:BGP590129 BQE590129:BQL590129 CAA590129:CAH590129 CJW590129:CKD590129 CTS590129:CTZ590129 DDO590129:DDV590129 DNK590129:DNR590129 DXG590129:DXN590129 EHC590129:EHJ590129 EQY590129:ERF590129 FAU590129:FBB590129 FKQ590129:FKX590129 FUM590129:FUT590129 GEI590129:GEP590129 GOE590129:GOL590129 GYA590129:GYH590129 HHW590129:HID590129 HRS590129:HRZ590129 IBO590129:IBV590129 ILK590129:ILR590129 IVG590129:IVN590129 JFC590129:JFJ590129 JOY590129:JPF590129 JYU590129:JZB590129 KIQ590129:KIX590129 KSM590129:KST590129 LCI590129:LCP590129 LME590129:LML590129 LWA590129:LWH590129 MFW590129:MGD590129 MPS590129:MPZ590129 MZO590129:MZV590129 NJK590129:NJR590129 NTG590129:NTN590129 ODC590129:ODJ590129 OMY590129:ONF590129 OWU590129:OXB590129 PGQ590129:PGX590129 PQM590129:PQT590129 QAI590129:QAP590129 QKE590129:QKL590129 QUA590129:QUH590129 RDW590129:RED590129 RNS590129:RNZ590129 RXO590129:RXV590129 SHK590129:SHR590129 SRG590129:SRN590129 TBC590129:TBJ590129 TKY590129:TLF590129 TUU590129:TVB590129 UEQ590129:UEX590129 UOM590129:UOT590129 UYI590129:UYP590129 VIE590129:VIL590129 VSA590129:VSH590129 WBW590129:WCD590129 WLS590129:WLZ590129 WVO590129:WVV590129 G655665:N655665 JC655665:JJ655665 SY655665:TF655665 ACU655665:ADB655665 AMQ655665:AMX655665 AWM655665:AWT655665 BGI655665:BGP655665 BQE655665:BQL655665 CAA655665:CAH655665 CJW655665:CKD655665 CTS655665:CTZ655665 DDO655665:DDV655665 DNK655665:DNR655665 DXG655665:DXN655665 EHC655665:EHJ655665 EQY655665:ERF655665 FAU655665:FBB655665 FKQ655665:FKX655665 FUM655665:FUT655665 GEI655665:GEP655665 GOE655665:GOL655665 GYA655665:GYH655665 HHW655665:HID655665 HRS655665:HRZ655665 IBO655665:IBV655665 ILK655665:ILR655665 IVG655665:IVN655665 JFC655665:JFJ655665 JOY655665:JPF655665 JYU655665:JZB655665 KIQ655665:KIX655665 KSM655665:KST655665 LCI655665:LCP655665 LME655665:LML655665 LWA655665:LWH655665 MFW655665:MGD655665 MPS655665:MPZ655665 MZO655665:MZV655665 NJK655665:NJR655665 NTG655665:NTN655665 ODC655665:ODJ655665 OMY655665:ONF655665 OWU655665:OXB655665 PGQ655665:PGX655665 PQM655665:PQT655665 QAI655665:QAP655665 QKE655665:QKL655665 QUA655665:QUH655665 RDW655665:RED655665 RNS655665:RNZ655665 RXO655665:RXV655665 SHK655665:SHR655665 SRG655665:SRN655665 TBC655665:TBJ655665 TKY655665:TLF655665 TUU655665:TVB655665 UEQ655665:UEX655665 UOM655665:UOT655665 UYI655665:UYP655665 VIE655665:VIL655665 VSA655665:VSH655665 WBW655665:WCD655665 WLS655665:WLZ655665 WVO655665:WVV655665 G721201:N721201 JC721201:JJ721201 SY721201:TF721201 ACU721201:ADB721201 AMQ721201:AMX721201 AWM721201:AWT721201 BGI721201:BGP721201 BQE721201:BQL721201 CAA721201:CAH721201 CJW721201:CKD721201 CTS721201:CTZ721201 DDO721201:DDV721201 DNK721201:DNR721201 DXG721201:DXN721201 EHC721201:EHJ721201 EQY721201:ERF721201 FAU721201:FBB721201 FKQ721201:FKX721201 FUM721201:FUT721201 GEI721201:GEP721201 GOE721201:GOL721201 GYA721201:GYH721201 HHW721201:HID721201 HRS721201:HRZ721201 IBO721201:IBV721201 ILK721201:ILR721201 IVG721201:IVN721201 JFC721201:JFJ721201 JOY721201:JPF721201 JYU721201:JZB721201 KIQ721201:KIX721201 KSM721201:KST721201 LCI721201:LCP721201 LME721201:LML721201 LWA721201:LWH721201 MFW721201:MGD721201 MPS721201:MPZ721201 MZO721201:MZV721201 NJK721201:NJR721201 NTG721201:NTN721201 ODC721201:ODJ721201 OMY721201:ONF721201 OWU721201:OXB721201 PGQ721201:PGX721201 PQM721201:PQT721201 QAI721201:QAP721201 QKE721201:QKL721201 QUA721201:QUH721201 RDW721201:RED721201 RNS721201:RNZ721201 RXO721201:RXV721201 SHK721201:SHR721201 SRG721201:SRN721201 TBC721201:TBJ721201 TKY721201:TLF721201 TUU721201:TVB721201 UEQ721201:UEX721201 UOM721201:UOT721201 UYI721201:UYP721201 VIE721201:VIL721201 VSA721201:VSH721201 WBW721201:WCD721201 WLS721201:WLZ721201 WVO721201:WVV721201 G786737:N786737 JC786737:JJ786737 SY786737:TF786737 ACU786737:ADB786737 AMQ786737:AMX786737 AWM786737:AWT786737 BGI786737:BGP786737 BQE786737:BQL786737 CAA786737:CAH786737 CJW786737:CKD786737 CTS786737:CTZ786737 DDO786737:DDV786737 DNK786737:DNR786737 DXG786737:DXN786737 EHC786737:EHJ786737 EQY786737:ERF786737 FAU786737:FBB786737 FKQ786737:FKX786737 FUM786737:FUT786737 GEI786737:GEP786737 GOE786737:GOL786737 GYA786737:GYH786737 HHW786737:HID786737 HRS786737:HRZ786737 IBO786737:IBV786737 ILK786737:ILR786737 IVG786737:IVN786737 JFC786737:JFJ786737 JOY786737:JPF786737 JYU786737:JZB786737 KIQ786737:KIX786737 KSM786737:KST786737 LCI786737:LCP786737 LME786737:LML786737 LWA786737:LWH786737 MFW786737:MGD786737 MPS786737:MPZ786737 MZO786737:MZV786737 NJK786737:NJR786737 NTG786737:NTN786737 ODC786737:ODJ786737 OMY786737:ONF786737 OWU786737:OXB786737 PGQ786737:PGX786737 PQM786737:PQT786737 QAI786737:QAP786737 QKE786737:QKL786737 QUA786737:QUH786737 RDW786737:RED786737 RNS786737:RNZ786737 RXO786737:RXV786737 SHK786737:SHR786737 SRG786737:SRN786737 TBC786737:TBJ786737 TKY786737:TLF786737 TUU786737:TVB786737 UEQ786737:UEX786737 UOM786737:UOT786737 UYI786737:UYP786737 VIE786737:VIL786737 VSA786737:VSH786737 WBW786737:WCD786737 WLS786737:WLZ786737 WVO786737:WVV786737 G852273:N852273 JC852273:JJ852273 SY852273:TF852273 ACU852273:ADB852273 AMQ852273:AMX852273 AWM852273:AWT852273 BGI852273:BGP852273 BQE852273:BQL852273 CAA852273:CAH852273 CJW852273:CKD852273 CTS852273:CTZ852273 DDO852273:DDV852273 DNK852273:DNR852273 DXG852273:DXN852273 EHC852273:EHJ852273 EQY852273:ERF852273 FAU852273:FBB852273 FKQ852273:FKX852273 FUM852273:FUT852273 GEI852273:GEP852273 GOE852273:GOL852273 GYA852273:GYH852273 HHW852273:HID852273 HRS852273:HRZ852273 IBO852273:IBV852273 ILK852273:ILR852273 IVG852273:IVN852273 JFC852273:JFJ852273 JOY852273:JPF852273 JYU852273:JZB852273 KIQ852273:KIX852273 KSM852273:KST852273 LCI852273:LCP852273 LME852273:LML852273 LWA852273:LWH852273 MFW852273:MGD852273 MPS852273:MPZ852273 MZO852273:MZV852273 NJK852273:NJR852273 NTG852273:NTN852273 ODC852273:ODJ852273 OMY852273:ONF852273 OWU852273:OXB852273 PGQ852273:PGX852273 PQM852273:PQT852273 QAI852273:QAP852273 QKE852273:QKL852273 QUA852273:QUH852273 RDW852273:RED852273 RNS852273:RNZ852273 RXO852273:RXV852273 SHK852273:SHR852273 SRG852273:SRN852273 TBC852273:TBJ852273 TKY852273:TLF852273 TUU852273:TVB852273 UEQ852273:UEX852273 UOM852273:UOT852273 UYI852273:UYP852273 VIE852273:VIL852273 VSA852273:VSH852273 WBW852273:WCD852273 WLS852273:WLZ852273 WVO852273:WVV852273 G917809:N917809 JC917809:JJ917809 SY917809:TF917809 ACU917809:ADB917809 AMQ917809:AMX917809 AWM917809:AWT917809 BGI917809:BGP917809 BQE917809:BQL917809 CAA917809:CAH917809 CJW917809:CKD917809 CTS917809:CTZ917809 DDO917809:DDV917809 DNK917809:DNR917809 DXG917809:DXN917809 EHC917809:EHJ917809 EQY917809:ERF917809 FAU917809:FBB917809 FKQ917809:FKX917809 FUM917809:FUT917809 GEI917809:GEP917809 GOE917809:GOL917809 GYA917809:GYH917809 HHW917809:HID917809 HRS917809:HRZ917809 IBO917809:IBV917809 ILK917809:ILR917809 IVG917809:IVN917809 JFC917809:JFJ917809 JOY917809:JPF917809 JYU917809:JZB917809 KIQ917809:KIX917809 KSM917809:KST917809 LCI917809:LCP917809 LME917809:LML917809 LWA917809:LWH917809 MFW917809:MGD917809 MPS917809:MPZ917809 MZO917809:MZV917809 NJK917809:NJR917809 NTG917809:NTN917809 ODC917809:ODJ917809 OMY917809:ONF917809 OWU917809:OXB917809 PGQ917809:PGX917809 PQM917809:PQT917809 QAI917809:QAP917809 QKE917809:QKL917809 QUA917809:QUH917809 RDW917809:RED917809 RNS917809:RNZ917809 RXO917809:RXV917809 SHK917809:SHR917809 SRG917809:SRN917809 TBC917809:TBJ917809 TKY917809:TLF917809 TUU917809:TVB917809 UEQ917809:UEX917809 UOM917809:UOT917809 UYI917809:UYP917809 VIE917809:VIL917809 VSA917809:VSH917809 WBW917809:WCD917809 WLS917809:WLZ917809 WVO917809:WVV917809 G983345:N983345 JC983345:JJ983345 SY983345:TF983345 ACU983345:ADB983345 AMQ983345:AMX983345 AWM983345:AWT983345 BGI983345:BGP983345 BQE983345:BQL983345 CAA983345:CAH983345 CJW983345:CKD983345 CTS983345:CTZ983345 DDO983345:DDV983345 DNK983345:DNR983345 DXG983345:DXN983345 EHC983345:EHJ983345 EQY983345:ERF983345 FAU983345:FBB983345 FKQ983345:FKX983345 FUM983345:FUT983345 GEI983345:GEP983345 GOE983345:GOL983345 GYA983345:GYH983345 HHW983345:HID983345 HRS983345:HRZ983345 IBO983345:IBV983345 ILK983345:ILR983345 IVG983345:IVN983345 JFC983345:JFJ983345 JOY983345:JPF983345 JYU983345:JZB983345 KIQ983345:KIX983345 KSM983345:KST983345 LCI983345:LCP983345 LME983345:LML983345 LWA983345:LWH983345 MFW983345:MGD983345 MPS983345:MPZ983345 MZO983345:MZV983345 NJK983345:NJR983345 NTG983345:NTN983345 ODC983345:ODJ983345 OMY983345:ONF983345 OWU983345:OXB983345 PGQ983345:PGX983345 PQM983345:PQT983345 QAI983345:QAP983345 QKE983345:QKL983345 QUA983345:QUH983345 RDW983345:RED983345 RNS983345:RNZ983345 RXO983345:RXV983345 SHK983345:SHR983345 SRG983345:SRN983345 TBC983345:TBJ983345 TKY983345:TLF983345 TUU983345:TVB983345 UEQ983345:UEX983345 UOM983345:UOT983345 UYI983345:UYP983345 VIE983345:VIL983345 VSA983345:VSH983345 WBW983345:WCD983345 WLS983345:WLZ983345 WVO983345:WVV983345 G89:N89 JC89:JJ89 SY89:TF89 ACU89:ADB89 AMQ89:AMX89 AWM89:AWT89 BGI89:BGP89 BQE89:BQL89 CAA89:CAH89 CJW89:CKD89 CTS89:CTZ89 DDO89:DDV89 DNK89:DNR89 DXG89:DXN89 EHC89:EHJ89 EQY89:ERF89 FAU89:FBB89 FKQ89:FKX89 FUM89:FUT89 GEI89:GEP89 GOE89:GOL89 GYA89:GYH89 HHW89:HID89 HRS89:HRZ89 IBO89:IBV89 ILK89:ILR89 IVG89:IVN89 JFC89:JFJ89 JOY89:JPF89 JYU89:JZB89 KIQ89:KIX89 KSM89:KST89 LCI89:LCP89 LME89:LML89 LWA89:LWH89 MFW89:MGD89 MPS89:MPZ89 MZO89:MZV89 NJK89:NJR89 NTG89:NTN89 ODC89:ODJ89 OMY89:ONF89 OWU89:OXB89 PGQ89:PGX89 PQM89:PQT89 QAI89:QAP89 QKE89:QKL89 QUA89:QUH89 RDW89:RED89 RNS89:RNZ89 RXO89:RXV89 SHK89:SHR89 SRG89:SRN89 TBC89:TBJ89 TKY89:TLF89 TUU89:TVB89 UEQ89:UEX89 UOM89:UOT89 UYI89:UYP89 VIE89:VIL89 VSA89:VSH89 WBW89:WCD89 WLS89:WLZ89 WVO89:WVV89 G65625:N65625 JC65625:JJ65625 SY65625:TF65625 ACU65625:ADB65625 AMQ65625:AMX65625 AWM65625:AWT65625 BGI65625:BGP65625 BQE65625:BQL65625 CAA65625:CAH65625 CJW65625:CKD65625 CTS65625:CTZ65625 DDO65625:DDV65625 DNK65625:DNR65625 DXG65625:DXN65625 EHC65625:EHJ65625 EQY65625:ERF65625 FAU65625:FBB65625 FKQ65625:FKX65625 FUM65625:FUT65625 GEI65625:GEP65625 GOE65625:GOL65625 GYA65625:GYH65625 HHW65625:HID65625 HRS65625:HRZ65625 IBO65625:IBV65625 ILK65625:ILR65625 IVG65625:IVN65625 JFC65625:JFJ65625 JOY65625:JPF65625 JYU65625:JZB65625 KIQ65625:KIX65625 KSM65625:KST65625 LCI65625:LCP65625 LME65625:LML65625 LWA65625:LWH65625 MFW65625:MGD65625 MPS65625:MPZ65625 MZO65625:MZV65625 NJK65625:NJR65625 NTG65625:NTN65625 ODC65625:ODJ65625 OMY65625:ONF65625 OWU65625:OXB65625 PGQ65625:PGX65625 PQM65625:PQT65625 QAI65625:QAP65625 QKE65625:QKL65625 QUA65625:QUH65625 RDW65625:RED65625 RNS65625:RNZ65625 RXO65625:RXV65625 SHK65625:SHR65625 SRG65625:SRN65625 TBC65625:TBJ65625 TKY65625:TLF65625 TUU65625:TVB65625 UEQ65625:UEX65625 UOM65625:UOT65625 UYI65625:UYP65625 VIE65625:VIL65625 VSA65625:VSH65625 WBW65625:WCD65625 WLS65625:WLZ65625 WVO65625:WVV65625 G131161:N131161 JC131161:JJ131161 SY131161:TF131161 ACU131161:ADB131161 AMQ131161:AMX131161 AWM131161:AWT131161 BGI131161:BGP131161 BQE131161:BQL131161 CAA131161:CAH131161 CJW131161:CKD131161 CTS131161:CTZ131161 DDO131161:DDV131161 DNK131161:DNR131161 DXG131161:DXN131161 EHC131161:EHJ131161 EQY131161:ERF131161 FAU131161:FBB131161 FKQ131161:FKX131161 FUM131161:FUT131161 GEI131161:GEP131161 GOE131161:GOL131161 GYA131161:GYH131161 HHW131161:HID131161 HRS131161:HRZ131161 IBO131161:IBV131161 ILK131161:ILR131161 IVG131161:IVN131161 JFC131161:JFJ131161 JOY131161:JPF131161 JYU131161:JZB131161 KIQ131161:KIX131161 KSM131161:KST131161 LCI131161:LCP131161 LME131161:LML131161 LWA131161:LWH131161 MFW131161:MGD131161 MPS131161:MPZ131161 MZO131161:MZV131161 NJK131161:NJR131161 NTG131161:NTN131161 ODC131161:ODJ131161 OMY131161:ONF131161 OWU131161:OXB131161 PGQ131161:PGX131161 PQM131161:PQT131161 QAI131161:QAP131161 QKE131161:QKL131161 QUA131161:QUH131161 RDW131161:RED131161 RNS131161:RNZ131161 RXO131161:RXV131161 SHK131161:SHR131161 SRG131161:SRN131161 TBC131161:TBJ131161 TKY131161:TLF131161 TUU131161:TVB131161 UEQ131161:UEX131161 UOM131161:UOT131161 UYI131161:UYP131161 VIE131161:VIL131161 VSA131161:VSH131161 WBW131161:WCD131161 WLS131161:WLZ131161 WVO131161:WVV131161 G196697:N196697 JC196697:JJ196697 SY196697:TF196697 ACU196697:ADB196697 AMQ196697:AMX196697 AWM196697:AWT196697 BGI196697:BGP196697 BQE196697:BQL196697 CAA196697:CAH196697 CJW196697:CKD196697 CTS196697:CTZ196697 DDO196697:DDV196697 DNK196697:DNR196697 DXG196697:DXN196697 EHC196697:EHJ196697 EQY196697:ERF196697 FAU196697:FBB196697 FKQ196697:FKX196697 FUM196697:FUT196697 GEI196697:GEP196697 GOE196697:GOL196697 GYA196697:GYH196697 HHW196697:HID196697 HRS196697:HRZ196697 IBO196697:IBV196697 ILK196697:ILR196697 IVG196697:IVN196697 JFC196697:JFJ196697 JOY196697:JPF196697 JYU196697:JZB196697 KIQ196697:KIX196697 KSM196697:KST196697 LCI196697:LCP196697 LME196697:LML196697 LWA196697:LWH196697 MFW196697:MGD196697 MPS196697:MPZ196697 MZO196697:MZV196697 NJK196697:NJR196697 NTG196697:NTN196697 ODC196697:ODJ196697 OMY196697:ONF196697 OWU196697:OXB196697 PGQ196697:PGX196697 PQM196697:PQT196697 QAI196697:QAP196697 QKE196697:QKL196697 QUA196697:QUH196697 RDW196697:RED196697 RNS196697:RNZ196697 RXO196697:RXV196697 SHK196697:SHR196697 SRG196697:SRN196697 TBC196697:TBJ196697 TKY196697:TLF196697 TUU196697:TVB196697 UEQ196697:UEX196697 UOM196697:UOT196697 UYI196697:UYP196697 VIE196697:VIL196697 VSA196697:VSH196697 WBW196697:WCD196697 WLS196697:WLZ196697 WVO196697:WVV196697 G262233:N262233 JC262233:JJ262233 SY262233:TF262233 ACU262233:ADB262233 AMQ262233:AMX262233 AWM262233:AWT262233 BGI262233:BGP262233 BQE262233:BQL262233 CAA262233:CAH262233 CJW262233:CKD262233 CTS262233:CTZ262233 DDO262233:DDV262233 DNK262233:DNR262233 DXG262233:DXN262233 EHC262233:EHJ262233 EQY262233:ERF262233 FAU262233:FBB262233 FKQ262233:FKX262233 FUM262233:FUT262233 GEI262233:GEP262233 GOE262233:GOL262233 GYA262233:GYH262233 HHW262233:HID262233 HRS262233:HRZ262233 IBO262233:IBV262233 ILK262233:ILR262233 IVG262233:IVN262233 JFC262233:JFJ262233 JOY262233:JPF262233 JYU262233:JZB262233 KIQ262233:KIX262233 KSM262233:KST262233 LCI262233:LCP262233 LME262233:LML262233 LWA262233:LWH262233 MFW262233:MGD262233 MPS262233:MPZ262233 MZO262233:MZV262233 NJK262233:NJR262233 NTG262233:NTN262233 ODC262233:ODJ262233 OMY262233:ONF262233 OWU262233:OXB262233 PGQ262233:PGX262233 PQM262233:PQT262233 QAI262233:QAP262233 QKE262233:QKL262233 QUA262233:QUH262233 RDW262233:RED262233 RNS262233:RNZ262233 RXO262233:RXV262233 SHK262233:SHR262233 SRG262233:SRN262233 TBC262233:TBJ262233 TKY262233:TLF262233 TUU262233:TVB262233 UEQ262233:UEX262233 UOM262233:UOT262233 UYI262233:UYP262233 VIE262233:VIL262233 VSA262233:VSH262233 WBW262233:WCD262233 WLS262233:WLZ262233 WVO262233:WVV262233 G327769:N327769 JC327769:JJ327769 SY327769:TF327769 ACU327769:ADB327769 AMQ327769:AMX327769 AWM327769:AWT327769 BGI327769:BGP327769 BQE327769:BQL327769 CAA327769:CAH327769 CJW327769:CKD327769 CTS327769:CTZ327769 DDO327769:DDV327769 DNK327769:DNR327769 DXG327769:DXN327769 EHC327769:EHJ327769 EQY327769:ERF327769 FAU327769:FBB327769 FKQ327769:FKX327769 FUM327769:FUT327769 GEI327769:GEP327769 GOE327769:GOL327769 GYA327769:GYH327769 HHW327769:HID327769 HRS327769:HRZ327769 IBO327769:IBV327769 ILK327769:ILR327769 IVG327769:IVN327769 JFC327769:JFJ327769 JOY327769:JPF327769 JYU327769:JZB327769 KIQ327769:KIX327769 KSM327769:KST327769 LCI327769:LCP327769 LME327769:LML327769 LWA327769:LWH327769 MFW327769:MGD327769 MPS327769:MPZ327769 MZO327769:MZV327769 NJK327769:NJR327769 NTG327769:NTN327769 ODC327769:ODJ327769 OMY327769:ONF327769 OWU327769:OXB327769 PGQ327769:PGX327769 PQM327769:PQT327769 QAI327769:QAP327769 QKE327769:QKL327769 QUA327769:QUH327769 RDW327769:RED327769 RNS327769:RNZ327769 RXO327769:RXV327769 SHK327769:SHR327769 SRG327769:SRN327769 TBC327769:TBJ327769 TKY327769:TLF327769 TUU327769:TVB327769 UEQ327769:UEX327769 UOM327769:UOT327769 UYI327769:UYP327769 VIE327769:VIL327769 VSA327769:VSH327769 WBW327769:WCD327769 WLS327769:WLZ327769 WVO327769:WVV327769 G393305:N393305 JC393305:JJ393305 SY393305:TF393305 ACU393305:ADB393305 AMQ393305:AMX393305 AWM393305:AWT393305 BGI393305:BGP393305 BQE393305:BQL393305 CAA393305:CAH393305 CJW393305:CKD393305 CTS393305:CTZ393305 DDO393305:DDV393305 DNK393305:DNR393305 DXG393305:DXN393305 EHC393305:EHJ393305 EQY393305:ERF393305 FAU393305:FBB393305 FKQ393305:FKX393305 FUM393305:FUT393305 GEI393305:GEP393305 GOE393305:GOL393305 GYA393305:GYH393305 HHW393305:HID393305 HRS393305:HRZ393305 IBO393305:IBV393305 ILK393305:ILR393305 IVG393305:IVN393305 JFC393305:JFJ393305 JOY393305:JPF393305 JYU393305:JZB393305 KIQ393305:KIX393305 KSM393305:KST393305 LCI393305:LCP393305 LME393305:LML393305 LWA393305:LWH393305 MFW393305:MGD393305 MPS393305:MPZ393305 MZO393305:MZV393305 NJK393305:NJR393305 NTG393305:NTN393305 ODC393305:ODJ393305 OMY393305:ONF393305 OWU393305:OXB393305 PGQ393305:PGX393305 PQM393305:PQT393305 QAI393305:QAP393305 QKE393305:QKL393305 QUA393305:QUH393305 RDW393305:RED393305 RNS393305:RNZ393305 RXO393305:RXV393305 SHK393305:SHR393305 SRG393305:SRN393305 TBC393305:TBJ393305 TKY393305:TLF393305 TUU393305:TVB393305 UEQ393305:UEX393305 UOM393305:UOT393305 UYI393305:UYP393305 VIE393305:VIL393305 VSA393305:VSH393305 WBW393305:WCD393305 WLS393305:WLZ393305 WVO393305:WVV393305 G458841:N458841 JC458841:JJ458841 SY458841:TF458841 ACU458841:ADB458841 AMQ458841:AMX458841 AWM458841:AWT458841 BGI458841:BGP458841 BQE458841:BQL458841 CAA458841:CAH458841 CJW458841:CKD458841 CTS458841:CTZ458841 DDO458841:DDV458841 DNK458841:DNR458841 DXG458841:DXN458841 EHC458841:EHJ458841 EQY458841:ERF458841 FAU458841:FBB458841 FKQ458841:FKX458841 FUM458841:FUT458841 GEI458841:GEP458841 GOE458841:GOL458841 GYA458841:GYH458841 HHW458841:HID458841 HRS458841:HRZ458841 IBO458841:IBV458841 ILK458841:ILR458841 IVG458841:IVN458841 JFC458841:JFJ458841 JOY458841:JPF458841 JYU458841:JZB458841 KIQ458841:KIX458841 KSM458841:KST458841 LCI458841:LCP458841 LME458841:LML458841 LWA458841:LWH458841 MFW458841:MGD458841 MPS458841:MPZ458841 MZO458841:MZV458841 NJK458841:NJR458841 NTG458841:NTN458841 ODC458841:ODJ458841 OMY458841:ONF458841 OWU458841:OXB458841 PGQ458841:PGX458841 PQM458841:PQT458841 QAI458841:QAP458841 QKE458841:QKL458841 QUA458841:QUH458841 RDW458841:RED458841 RNS458841:RNZ458841 RXO458841:RXV458841 SHK458841:SHR458841 SRG458841:SRN458841 TBC458841:TBJ458841 TKY458841:TLF458841 TUU458841:TVB458841 UEQ458841:UEX458841 UOM458841:UOT458841 UYI458841:UYP458841 VIE458841:VIL458841 VSA458841:VSH458841 WBW458841:WCD458841 WLS458841:WLZ458841 WVO458841:WVV458841 G524377:N524377 JC524377:JJ524377 SY524377:TF524377 ACU524377:ADB524377 AMQ524377:AMX524377 AWM524377:AWT524377 BGI524377:BGP524377 BQE524377:BQL524377 CAA524377:CAH524377 CJW524377:CKD524377 CTS524377:CTZ524377 DDO524377:DDV524377 DNK524377:DNR524377 DXG524377:DXN524377 EHC524377:EHJ524377 EQY524377:ERF524377 FAU524377:FBB524377 FKQ524377:FKX524377 FUM524377:FUT524377 GEI524377:GEP524377 GOE524377:GOL524377 GYA524377:GYH524377 HHW524377:HID524377 HRS524377:HRZ524377 IBO524377:IBV524377 ILK524377:ILR524377 IVG524377:IVN524377 JFC524377:JFJ524377 JOY524377:JPF524377 JYU524377:JZB524377 KIQ524377:KIX524377 KSM524377:KST524377 LCI524377:LCP524377 LME524377:LML524377 LWA524377:LWH524377 MFW524377:MGD524377 MPS524377:MPZ524377 MZO524377:MZV524377 NJK524377:NJR524377 NTG524377:NTN524377 ODC524377:ODJ524377 OMY524377:ONF524377 OWU524377:OXB524377 PGQ524377:PGX524377 PQM524377:PQT524377 QAI524377:QAP524377 QKE524377:QKL524377 QUA524377:QUH524377 RDW524377:RED524377 RNS524377:RNZ524377 RXO524377:RXV524377 SHK524377:SHR524377 SRG524377:SRN524377 TBC524377:TBJ524377 TKY524377:TLF524377 TUU524377:TVB524377 UEQ524377:UEX524377 UOM524377:UOT524377 UYI524377:UYP524377 VIE524377:VIL524377 VSA524377:VSH524377 WBW524377:WCD524377 WLS524377:WLZ524377 WVO524377:WVV524377 G589913:N589913 JC589913:JJ589913 SY589913:TF589913 ACU589913:ADB589913 AMQ589913:AMX589913 AWM589913:AWT589913 BGI589913:BGP589913 BQE589913:BQL589913 CAA589913:CAH589913 CJW589913:CKD589913 CTS589913:CTZ589913 DDO589913:DDV589913 DNK589913:DNR589913 DXG589913:DXN589913 EHC589913:EHJ589913 EQY589913:ERF589913 FAU589913:FBB589913 FKQ589913:FKX589913 FUM589913:FUT589913 GEI589913:GEP589913 GOE589913:GOL589913 GYA589913:GYH589913 HHW589913:HID589913 HRS589913:HRZ589913 IBO589913:IBV589913 ILK589913:ILR589913 IVG589913:IVN589913 JFC589913:JFJ589913 JOY589913:JPF589913 JYU589913:JZB589913 KIQ589913:KIX589913 KSM589913:KST589913 LCI589913:LCP589913 LME589913:LML589913 LWA589913:LWH589913 MFW589913:MGD589913 MPS589913:MPZ589913 MZO589913:MZV589913 NJK589913:NJR589913 NTG589913:NTN589913 ODC589913:ODJ589913 OMY589913:ONF589913 OWU589913:OXB589913 PGQ589913:PGX589913 PQM589913:PQT589913 QAI589913:QAP589913 QKE589913:QKL589913 QUA589913:QUH589913 RDW589913:RED589913 RNS589913:RNZ589913 RXO589913:RXV589913 SHK589913:SHR589913 SRG589913:SRN589913 TBC589913:TBJ589913 TKY589913:TLF589913 TUU589913:TVB589913 UEQ589913:UEX589913 UOM589913:UOT589913 UYI589913:UYP589913 VIE589913:VIL589913 VSA589913:VSH589913 WBW589913:WCD589913 WLS589913:WLZ589913 WVO589913:WVV589913 G655449:N655449 JC655449:JJ655449 SY655449:TF655449 ACU655449:ADB655449 AMQ655449:AMX655449 AWM655449:AWT655449 BGI655449:BGP655449 BQE655449:BQL655449 CAA655449:CAH655449 CJW655449:CKD655449 CTS655449:CTZ655449 DDO655449:DDV655449 DNK655449:DNR655449 DXG655449:DXN655449 EHC655449:EHJ655449 EQY655449:ERF655449 FAU655449:FBB655449 FKQ655449:FKX655449 FUM655449:FUT655449 GEI655449:GEP655449 GOE655449:GOL655449 GYA655449:GYH655449 HHW655449:HID655449 HRS655449:HRZ655449 IBO655449:IBV655449 ILK655449:ILR655449 IVG655449:IVN655449 JFC655449:JFJ655449 JOY655449:JPF655449 JYU655449:JZB655449 KIQ655449:KIX655449 KSM655449:KST655449 LCI655449:LCP655449 LME655449:LML655449 LWA655449:LWH655449 MFW655449:MGD655449 MPS655449:MPZ655449 MZO655449:MZV655449 NJK655449:NJR655449 NTG655449:NTN655449 ODC655449:ODJ655449 OMY655449:ONF655449 OWU655449:OXB655449 PGQ655449:PGX655449 PQM655449:PQT655449 QAI655449:QAP655449 QKE655449:QKL655449 QUA655449:QUH655449 RDW655449:RED655449 RNS655449:RNZ655449 RXO655449:RXV655449 SHK655449:SHR655449 SRG655449:SRN655449 TBC655449:TBJ655449 TKY655449:TLF655449 TUU655449:TVB655449 UEQ655449:UEX655449 UOM655449:UOT655449 UYI655449:UYP655449 VIE655449:VIL655449 VSA655449:VSH655449 WBW655449:WCD655449 WLS655449:WLZ655449 WVO655449:WVV655449 G720985:N720985 JC720985:JJ720985 SY720985:TF720985 ACU720985:ADB720985 AMQ720985:AMX720985 AWM720985:AWT720985 BGI720985:BGP720985 BQE720985:BQL720985 CAA720985:CAH720985 CJW720985:CKD720985 CTS720985:CTZ720985 DDO720985:DDV720985 DNK720985:DNR720985 DXG720985:DXN720985 EHC720985:EHJ720985 EQY720985:ERF720985 FAU720985:FBB720985 FKQ720985:FKX720985 FUM720985:FUT720985 GEI720985:GEP720985 GOE720985:GOL720985 GYA720985:GYH720985 HHW720985:HID720985 HRS720985:HRZ720985 IBO720985:IBV720985 ILK720985:ILR720985 IVG720985:IVN720985 JFC720985:JFJ720985 JOY720985:JPF720985 JYU720985:JZB720985 KIQ720985:KIX720985 KSM720985:KST720985 LCI720985:LCP720985 LME720985:LML720985 LWA720985:LWH720985 MFW720985:MGD720985 MPS720985:MPZ720985 MZO720985:MZV720985 NJK720985:NJR720985 NTG720985:NTN720985 ODC720985:ODJ720985 OMY720985:ONF720985 OWU720985:OXB720985 PGQ720985:PGX720985 PQM720985:PQT720985 QAI720985:QAP720985 QKE720985:QKL720985 QUA720985:QUH720985 RDW720985:RED720985 RNS720985:RNZ720985 RXO720985:RXV720985 SHK720985:SHR720985 SRG720985:SRN720985 TBC720985:TBJ720985 TKY720985:TLF720985 TUU720985:TVB720985 UEQ720985:UEX720985 UOM720985:UOT720985 UYI720985:UYP720985 VIE720985:VIL720985 VSA720985:VSH720985 WBW720985:WCD720985 WLS720985:WLZ720985 WVO720985:WVV720985 G786521:N786521 JC786521:JJ786521 SY786521:TF786521 ACU786521:ADB786521 AMQ786521:AMX786521 AWM786521:AWT786521 BGI786521:BGP786521 BQE786521:BQL786521 CAA786521:CAH786521 CJW786521:CKD786521 CTS786521:CTZ786521 DDO786521:DDV786521 DNK786521:DNR786521 DXG786521:DXN786521 EHC786521:EHJ786521 EQY786521:ERF786521 FAU786521:FBB786521 FKQ786521:FKX786521 FUM786521:FUT786521 GEI786521:GEP786521 GOE786521:GOL786521 GYA786521:GYH786521 HHW786521:HID786521 HRS786521:HRZ786521 IBO786521:IBV786521 ILK786521:ILR786521 IVG786521:IVN786521 JFC786521:JFJ786521 JOY786521:JPF786521 JYU786521:JZB786521 KIQ786521:KIX786521 KSM786521:KST786521 LCI786521:LCP786521 LME786521:LML786521 LWA786521:LWH786521 MFW786521:MGD786521 MPS786521:MPZ786521 MZO786521:MZV786521 NJK786521:NJR786521 NTG786521:NTN786521 ODC786521:ODJ786521 OMY786521:ONF786521 OWU786521:OXB786521 PGQ786521:PGX786521 PQM786521:PQT786521 QAI786521:QAP786521 QKE786521:QKL786521 QUA786521:QUH786521 RDW786521:RED786521 RNS786521:RNZ786521 RXO786521:RXV786521 SHK786521:SHR786521 SRG786521:SRN786521 TBC786521:TBJ786521 TKY786521:TLF786521 TUU786521:TVB786521 UEQ786521:UEX786521 UOM786521:UOT786521 UYI786521:UYP786521 VIE786521:VIL786521 VSA786521:VSH786521 WBW786521:WCD786521 WLS786521:WLZ786521 WVO786521:WVV786521 G852057:N852057 JC852057:JJ852057 SY852057:TF852057 ACU852057:ADB852057 AMQ852057:AMX852057 AWM852057:AWT852057 BGI852057:BGP852057 BQE852057:BQL852057 CAA852057:CAH852057 CJW852057:CKD852057 CTS852057:CTZ852057 DDO852057:DDV852057 DNK852057:DNR852057 DXG852057:DXN852057 EHC852057:EHJ852057 EQY852057:ERF852057 FAU852057:FBB852057 FKQ852057:FKX852057 FUM852057:FUT852057 GEI852057:GEP852057 GOE852057:GOL852057 GYA852057:GYH852057 HHW852057:HID852057 HRS852057:HRZ852057 IBO852057:IBV852057 ILK852057:ILR852057 IVG852057:IVN852057 JFC852057:JFJ852057 JOY852057:JPF852057 JYU852057:JZB852057 KIQ852057:KIX852057 KSM852057:KST852057 LCI852057:LCP852057 LME852057:LML852057 LWA852057:LWH852057 MFW852057:MGD852057 MPS852057:MPZ852057 MZO852057:MZV852057 NJK852057:NJR852057 NTG852057:NTN852057 ODC852057:ODJ852057 OMY852057:ONF852057 OWU852057:OXB852057 PGQ852057:PGX852057 PQM852057:PQT852057 QAI852057:QAP852057 QKE852057:QKL852057 QUA852057:QUH852057 RDW852057:RED852057 RNS852057:RNZ852057 RXO852057:RXV852057 SHK852057:SHR852057 SRG852057:SRN852057 TBC852057:TBJ852057 TKY852057:TLF852057 TUU852057:TVB852057 UEQ852057:UEX852057 UOM852057:UOT852057 UYI852057:UYP852057 VIE852057:VIL852057 VSA852057:VSH852057 WBW852057:WCD852057 WLS852057:WLZ852057 WVO852057:WVV852057 G917593:N917593 JC917593:JJ917593 SY917593:TF917593 ACU917593:ADB917593 AMQ917593:AMX917593 AWM917593:AWT917593 BGI917593:BGP917593 BQE917593:BQL917593 CAA917593:CAH917593 CJW917593:CKD917593 CTS917593:CTZ917593 DDO917593:DDV917593 DNK917593:DNR917593 DXG917593:DXN917593 EHC917593:EHJ917593 EQY917593:ERF917593 FAU917593:FBB917593 FKQ917593:FKX917593 FUM917593:FUT917593 GEI917593:GEP917593 GOE917593:GOL917593 GYA917593:GYH917593 HHW917593:HID917593 HRS917593:HRZ917593 IBO917593:IBV917593 ILK917593:ILR917593 IVG917593:IVN917593 JFC917593:JFJ917593 JOY917593:JPF917593 JYU917593:JZB917593 KIQ917593:KIX917593 KSM917593:KST917593 LCI917593:LCP917593 LME917593:LML917593 LWA917593:LWH917593 MFW917593:MGD917593 MPS917593:MPZ917593 MZO917593:MZV917593 NJK917593:NJR917593 NTG917593:NTN917593 ODC917593:ODJ917593 OMY917593:ONF917593 OWU917593:OXB917593 PGQ917593:PGX917593 PQM917593:PQT917593 QAI917593:QAP917593 QKE917593:QKL917593 QUA917593:QUH917593 RDW917593:RED917593 RNS917593:RNZ917593 RXO917593:RXV917593 SHK917593:SHR917593 SRG917593:SRN917593 TBC917593:TBJ917593 TKY917593:TLF917593 TUU917593:TVB917593 UEQ917593:UEX917593 UOM917593:UOT917593 UYI917593:UYP917593 VIE917593:VIL917593 VSA917593:VSH917593 WBW917593:WCD917593 WLS917593:WLZ917593 WVO917593:WVV917593 G983129:N983129 JC983129:JJ983129 SY983129:TF983129 ACU983129:ADB983129 AMQ983129:AMX983129 AWM983129:AWT983129 BGI983129:BGP983129 BQE983129:BQL983129 CAA983129:CAH983129 CJW983129:CKD983129 CTS983129:CTZ983129 DDO983129:DDV983129 DNK983129:DNR983129 DXG983129:DXN983129 EHC983129:EHJ983129 EQY983129:ERF983129 FAU983129:FBB983129 FKQ983129:FKX983129 FUM983129:FUT983129 GEI983129:GEP983129 GOE983129:GOL983129 GYA983129:GYH983129 HHW983129:HID983129 HRS983129:HRZ983129 IBO983129:IBV983129 ILK983129:ILR983129 IVG983129:IVN983129 JFC983129:JFJ983129 JOY983129:JPF983129 JYU983129:JZB983129 KIQ983129:KIX983129 KSM983129:KST983129 LCI983129:LCP983129 LME983129:LML983129 LWA983129:LWH983129 MFW983129:MGD983129 MPS983129:MPZ983129 MZO983129:MZV983129 NJK983129:NJR983129 NTG983129:NTN983129 ODC983129:ODJ983129 OMY983129:ONF983129 OWU983129:OXB983129 PGQ983129:PGX983129 PQM983129:PQT983129 QAI983129:QAP983129 QKE983129:QKL983129 QUA983129:QUH983129 RDW983129:RED983129 RNS983129:RNZ983129 RXO983129:RXV983129 SHK983129:SHR983129 SRG983129:SRN983129 TBC983129:TBJ983129 TKY983129:TLF983129 TUU983129:TVB983129 UEQ983129:UEX983129 UOM983129:UOT983129 UYI983129:UYP983129 VIE983129:VIL983129 VSA983129:VSH983129 WBW983129:WCD983129 WLS983129:WLZ983129 WVO983129:WVV983129 G11:N11 JC11:JJ11 SY11:TF11 ACU11:ADB11 AMQ11:AMX11 AWM11:AWT11 BGI11:BGP11 BQE11:BQL11 CAA11:CAH11 CJW11:CKD11 CTS11:CTZ11 DDO11:DDV11 DNK11:DNR11 DXG11:DXN11 EHC11:EHJ11 EQY11:ERF11 FAU11:FBB11 FKQ11:FKX11 FUM11:FUT11 GEI11:GEP11 GOE11:GOL11 GYA11:GYH11 HHW11:HID11 HRS11:HRZ11 IBO11:IBV11 ILK11:ILR11 IVG11:IVN11 JFC11:JFJ11 JOY11:JPF11 JYU11:JZB11 KIQ11:KIX11 KSM11:KST11 LCI11:LCP11 LME11:LML11 LWA11:LWH11 MFW11:MGD11 MPS11:MPZ11 MZO11:MZV11 NJK11:NJR11 NTG11:NTN11 ODC11:ODJ11 OMY11:ONF11 OWU11:OXB11 PGQ11:PGX11 PQM11:PQT11 QAI11:QAP11 QKE11:QKL11 QUA11:QUH11 RDW11:RED11 RNS11:RNZ11 RXO11:RXV11 SHK11:SHR11 SRG11:SRN11 TBC11:TBJ11 TKY11:TLF11 TUU11:TVB11 UEQ11:UEX11 UOM11:UOT11 UYI11:UYP11 VIE11:VIL11 VSA11:VSH11 WBW11:WCD11 WLS11:WLZ11 WVO11:WVV11 G65547:N65547 JC65547:JJ65547 SY65547:TF65547 ACU65547:ADB65547 AMQ65547:AMX65547 AWM65547:AWT65547 BGI65547:BGP65547 BQE65547:BQL65547 CAA65547:CAH65547 CJW65547:CKD65547 CTS65547:CTZ65547 DDO65547:DDV65547 DNK65547:DNR65547 DXG65547:DXN65547 EHC65547:EHJ65547 EQY65547:ERF65547 FAU65547:FBB65547 FKQ65547:FKX65547 FUM65547:FUT65547 GEI65547:GEP65547 GOE65547:GOL65547 GYA65547:GYH65547 HHW65547:HID65547 HRS65547:HRZ65547 IBO65547:IBV65547 ILK65547:ILR65547 IVG65547:IVN65547 JFC65547:JFJ65547 JOY65547:JPF65547 JYU65547:JZB65547 KIQ65547:KIX65547 KSM65547:KST65547 LCI65547:LCP65547 LME65547:LML65547 LWA65547:LWH65547 MFW65547:MGD65547 MPS65547:MPZ65547 MZO65547:MZV65547 NJK65547:NJR65547 NTG65547:NTN65547 ODC65547:ODJ65547 OMY65547:ONF65547 OWU65547:OXB65547 PGQ65547:PGX65547 PQM65547:PQT65547 QAI65547:QAP65547 QKE65547:QKL65547 QUA65547:QUH65547 RDW65547:RED65547 RNS65547:RNZ65547 RXO65547:RXV65547 SHK65547:SHR65547 SRG65547:SRN65547 TBC65547:TBJ65547 TKY65547:TLF65547 TUU65547:TVB65547 UEQ65547:UEX65547 UOM65547:UOT65547 UYI65547:UYP65547 VIE65547:VIL65547 VSA65547:VSH65547 WBW65547:WCD65547 WLS65547:WLZ65547 WVO65547:WVV65547 G131083:N131083 JC131083:JJ131083 SY131083:TF131083 ACU131083:ADB131083 AMQ131083:AMX131083 AWM131083:AWT131083 BGI131083:BGP131083 BQE131083:BQL131083 CAA131083:CAH131083 CJW131083:CKD131083 CTS131083:CTZ131083 DDO131083:DDV131083 DNK131083:DNR131083 DXG131083:DXN131083 EHC131083:EHJ131083 EQY131083:ERF131083 FAU131083:FBB131083 FKQ131083:FKX131083 FUM131083:FUT131083 GEI131083:GEP131083 GOE131083:GOL131083 GYA131083:GYH131083 HHW131083:HID131083 HRS131083:HRZ131083 IBO131083:IBV131083 ILK131083:ILR131083 IVG131083:IVN131083 JFC131083:JFJ131083 JOY131083:JPF131083 JYU131083:JZB131083 KIQ131083:KIX131083 KSM131083:KST131083 LCI131083:LCP131083 LME131083:LML131083 LWA131083:LWH131083 MFW131083:MGD131083 MPS131083:MPZ131083 MZO131083:MZV131083 NJK131083:NJR131083 NTG131083:NTN131083 ODC131083:ODJ131083 OMY131083:ONF131083 OWU131083:OXB131083 PGQ131083:PGX131083 PQM131083:PQT131083 QAI131083:QAP131083 QKE131083:QKL131083 QUA131083:QUH131083 RDW131083:RED131083 RNS131083:RNZ131083 RXO131083:RXV131083 SHK131083:SHR131083 SRG131083:SRN131083 TBC131083:TBJ131083 TKY131083:TLF131083 TUU131083:TVB131083 UEQ131083:UEX131083 UOM131083:UOT131083 UYI131083:UYP131083 VIE131083:VIL131083 VSA131083:VSH131083 WBW131083:WCD131083 WLS131083:WLZ131083 WVO131083:WVV131083 G196619:N196619 JC196619:JJ196619 SY196619:TF196619 ACU196619:ADB196619 AMQ196619:AMX196619 AWM196619:AWT196619 BGI196619:BGP196619 BQE196619:BQL196619 CAA196619:CAH196619 CJW196619:CKD196619 CTS196619:CTZ196619 DDO196619:DDV196619 DNK196619:DNR196619 DXG196619:DXN196619 EHC196619:EHJ196619 EQY196619:ERF196619 FAU196619:FBB196619 FKQ196619:FKX196619 FUM196619:FUT196619 GEI196619:GEP196619 GOE196619:GOL196619 GYA196619:GYH196619 HHW196619:HID196619 HRS196619:HRZ196619 IBO196619:IBV196619 ILK196619:ILR196619 IVG196619:IVN196619 JFC196619:JFJ196619 JOY196619:JPF196619 JYU196619:JZB196619 KIQ196619:KIX196619 KSM196619:KST196619 LCI196619:LCP196619 LME196619:LML196619 LWA196619:LWH196619 MFW196619:MGD196619 MPS196619:MPZ196619 MZO196619:MZV196619 NJK196619:NJR196619 NTG196619:NTN196619 ODC196619:ODJ196619 OMY196619:ONF196619 OWU196619:OXB196619 PGQ196619:PGX196619 PQM196619:PQT196619 QAI196619:QAP196619 QKE196619:QKL196619 QUA196619:QUH196619 RDW196619:RED196619 RNS196619:RNZ196619 RXO196619:RXV196619 SHK196619:SHR196619 SRG196619:SRN196619 TBC196619:TBJ196619 TKY196619:TLF196619 TUU196619:TVB196619 UEQ196619:UEX196619 UOM196619:UOT196619 UYI196619:UYP196619 VIE196619:VIL196619 VSA196619:VSH196619 WBW196619:WCD196619 WLS196619:WLZ196619 WVO196619:WVV196619 G262155:N262155 JC262155:JJ262155 SY262155:TF262155 ACU262155:ADB262155 AMQ262155:AMX262155 AWM262155:AWT262155 BGI262155:BGP262155 BQE262155:BQL262155 CAA262155:CAH262155 CJW262155:CKD262155 CTS262155:CTZ262155 DDO262155:DDV262155 DNK262155:DNR262155 DXG262155:DXN262155 EHC262155:EHJ262155 EQY262155:ERF262155 FAU262155:FBB262155 FKQ262155:FKX262155 FUM262155:FUT262155 GEI262155:GEP262155 GOE262155:GOL262155 GYA262155:GYH262155 HHW262155:HID262155 HRS262155:HRZ262155 IBO262155:IBV262155 ILK262155:ILR262155 IVG262155:IVN262155 JFC262155:JFJ262155 JOY262155:JPF262155 JYU262155:JZB262155 KIQ262155:KIX262155 KSM262155:KST262155 LCI262155:LCP262155 LME262155:LML262155 LWA262155:LWH262155 MFW262155:MGD262155 MPS262155:MPZ262155 MZO262155:MZV262155 NJK262155:NJR262155 NTG262155:NTN262155 ODC262155:ODJ262155 OMY262155:ONF262155 OWU262155:OXB262155 PGQ262155:PGX262155 PQM262155:PQT262155 QAI262155:QAP262155 QKE262155:QKL262155 QUA262155:QUH262155 RDW262155:RED262155 RNS262155:RNZ262155 RXO262155:RXV262155 SHK262155:SHR262155 SRG262155:SRN262155 TBC262155:TBJ262155 TKY262155:TLF262155 TUU262155:TVB262155 UEQ262155:UEX262155 UOM262155:UOT262155 UYI262155:UYP262155 VIE262155:VIL262155 VSA262155:VSH262155 WBW262155:WCD262155 WLS262155:WLZ262155 WVO262155:WVV262155 G327691:N327691 JC327691:JJ327691 SY327691:TF327691 ACU327691:ADB327691 AMQ327691:AMX327691 AWM327691:AWT327691 BGI327691:BGP327691 BQE327691:BQL327691 CAA327691:CAH327691 CJW327691:CKD327691 CTS327691:CTZ327691 DDO327691:DDV327691 DNK327691:DNR327691 DXG327691:DXN327691 EHC327691:EHJ327691 EQY327691:ERF327691 FAU327691:FBB327691 FKQ327691:FKX327691 FUM327691:FUT327691 GEI327691:GEP327691 GOE327691:GOL327691 GYA327691:GYH327691 HHW327691:HID327691 HRS327691:HRZ327691 IBO327691:IBV327691 ILK327691:ILR327691 IVG327691:IVN327691 JFC327691:JFJ327691 JOY327691:JPF327691 JYU327691:JZB327691 KIQ327691:KIX327691 KSM327691:KST327691 LCI327691:LCP327691 LME327691:LML327691 LWA327691:LWH327691 MFW327691:MGD327691 MPS327691:MPZ327691 MZO327691:MZV327691 NJK327691:NJR327691 NTG327691:NTN327691 ODC327691:ODJ327691 OMY327691:ONF327691 OWU327691:OXB327691 PGQ327691:PGX327691 PQM327691:PQT327691 QAI327691:QAP327691 QKE327691:QKL327691 QUA327691:QUH327691 RDW327691:RED327691 RNS327691:RNZ327691 RXO327691:RXV327691 SHK327691:SHR327691 SRG327691:SRN327691 TBC327691:TBJ327691 TKY327691:TLF327691 TUU327691:TVB327691 UEQ327691:UEX327691 UOM327691:UOT327691 UYI327691:UYP327691 VIE327691:VIL327691 VSA327691:VSH327691 WBW327691:WCD327691 WLS327691:WLZ327691 WVO327691:WVV327691 G393227:N393227 JC393227:JJ393227 SY393227:TF393227 ACU393227:ADB393227 AMQ393227:AMX393227 AWM393227:AWT393227 BGI393227:BGP393227 BQE393227:BQL393227 CAA393227:CAH393227 CJW393227:CKD393227 CTS393227:CTZ393227 DDO393227:DDV393227 DNK393227:DNR393227 DXG393227:DXN393227 EHC393227:EHJ393227 EQY393227:ERF393227 FAU393227:FBB393227 FKQ393227:FKX393227 FUM393227:FUT393227 GEI393227:GEP393227 GOE393227:GOL393227 GYA393227:GYH393227 HHW393227:HID393227 HRS393227:HRZ393227 IBO393227:IBV393227 ILK393227:ILR393227 IVG393227:IVN393227 JFC393227:JFJ393227 JOY393227:JPF393227 JYU393227:JZB393227 KIQ393227:KIX393227 KSM393227:KST393227 LCI393227:LCP393227 LME393227:LML393227 LWA393227:LWH393227 MFW393227:MGD393227 MPS393227:MPZ393227 MZO393227:MZV393227 NJK393227:NJR393227 NTG393227:NTN393227 ODC393227:ODJ393227 OMY393227:ONF393227 OWU393227:OXB393227 PGQ393227:PGX393227 PQM393227:PQT393227 QAI393227:QAP393227 QKE393227:QKL393227 QUA393227:QUH393227 RDW393227:RED393227 RNS393227:RNZ393227 RXO393227:RXV393227 SHK393227:SHR393227 SRG393227:SRN393227 TBC393227:TBJ393227 TKY393227:TLF393227 TUU393227:TVB393227 UEQ393227:UEX393227 UOM393227:UOT393227 UYI393227:UYP393227 VIE393227:VIL393227 VSA393227:VSH393227 WBW393227:WCD393227 WLS393227:WLZ393227 WVO393227:WVV393227 G458763:N458763 JC458763:JJ458763 SY458763:TF458763 ACU458763:ADB458763 AMQ458763:AMX458763 AWM458763:AWT458763 BGI458763:BGP458763 BQE458763:BQL458763 CAA458763:CAH458763 CJW458763:CKD458763 CTS458763:CTZ458763 DDO458763:DDV458763 DNK458763:DNR458763 DXG458763:DXN458763 EHC458763:EHJ458763 EQY458763:ERF458763 FAU458763:FBB458763 FKQ458763:FKX458763 FUM458763:FUT458763 GEI458763:GEP458763 GOE458763:GOL458763 GYA458763:GYH458763 HHW458763:HID458763 HRS458763:HRZ458763 IBO458763:IBV458763 ILK458763:ILR458763 IVG458763:IVN458763 JFC458763:JFJ458763 JOY458763:JPF458763 JYU458763:JZB458763 KIQ458763:KIX458763 KSM458763:KST458763 LCI458763:LCP458763 LME458763:LML458763 LWA458763:LWH458763 MFW458763:MGD458763 MPS458763:MPZ458763 MZO458763:MZV458763 NJK458763:NJR458763 NTG458763:NTN458763 ODC458763:ODJ458763 OMY458763:ONF458763 OWU458763:OXB458763 PGQ458763:PGX458763 PQM458763:PQT458763 QAI458763:QAP458763 QKE458763:QKL458763 QUA458763:QUH458763 RDW458763:RED458763 RNS458763:RNZ458763 RXO458763:RXV458763 SHK458763:SHR458763 SRG458763:SRN458763 TBC458763:TBJ458763 TKY458763:TLF458763 TUU458763:TVB458763 UEQ458763:UEX458763 UOM458763:UOT458763 UYI458763:UYP458763 VIE458763:VIL458763 VSA458763:VSH458763 WBW458763:WCD458763 WLS458763:WLZ458763 WVO458763:WVV458763 G524299:N524299 JC524299:JJ524299 SY524299:TF524299 ACU524299:ADB524299 AMQ524299:AMX524299 AWM524299:AWT524299 BGI524299:BGP524299 BQE524299:BQL524299 CAA524299:CAH524299 CJW524299:CKD524299 CTS524299:CTZ524299 DDO524299:DDV524299 DNK524299:DNR524299 DXG524299:DXN524299 EHC524299:EHJ524299 EQY524299:ERF524299 FAU524299:FBB524299 FKQ524299:FKX524299 FUM524299:FUT524299 GEI524299:GEP524299 GOE524299:GOL524299 GYA524299:GYH524299 HHW524299:HID524299 HRS524299:HRZ524299 IBO524299:IBV524299 ILK524299:ILR524299 IVG524299:IVN524299 JFC524299:JFJ524299 JOY524299:JPF524299 JYU524299:JZB524299 KIQ524299:KIX524299 KSM524299:KST524299 LCI524299:LCP524299 LME524299:LML524299 LWA524299:LWH524299 MFW524299:MGD524299 MPS524299:MPZ524299 MZO524299:MZV524299 NJK524299:NJR524299 NTG524299:NTN524299 ODC524299:ODJ524299 OMY524299:ONF524299 OWU524299:OXB524299 PGQ524299:PGX524299 PQM524299:PQT524299 QAI524299:QAP524299 QKE524299:QKL524299 QUA524299:QUH524299 RDW524299:RED524299 RNS524299:RNZ524299 RXO524299:RXV524299 SHK524299:SHR524299 SRG524299:SRN524299 TBC524299:TBJ524299 TKY524299:TLF524299 TUU524299:TVB524299 UEQ524299:UEX524299 UOM524299:UOT524299 UYI524299:UYP524299 VIE524299:VIL524299 VSA524299:VSH524299 WBW524299:WCD524299 WLS524299:WLZ524299 WVO524299:WVV524299 G589835:N589835 JC589835:JJ589835 SY589835:TF589835 ACU589835:ADB589835 AMQ589835:AMX589835 AWM589835:AWT589835 BGI589835:BGP589835 BQE589835:BQL589835 CAA589835:CAH589835 CJW589835:CKD589835 CTS589835:CTZ589835 DDO589835:DDV589835 DNK589835:DNR589835 DXG589835:DXN589835 EHC589835:EHJ589835 EQY589835:ERF589835 FAU589835:FBB589835 FKQ589835:FKX589835 FUM589835:FUT589835 GEI589835:GEP589835 GOE589835:GOL589835 GYA589835:GYH589835 HHW589835:HID589835 HRS589835:HRZ589835 IBO589835:IBV589835 ILK589835:ILR589835 IVG589835:IVN589835 JFC589835:JFJ589835 JOY589835:JPF589835 JYU589835:JZB589835 KIQ589835:KIX589835 KSM589835:KST589835 LCI589835:LCP589835 LME589835:LML589835 LWA589835:LWH589835 MFW589835:MGD589835 MPS589835:MPZ589835 MZO589835:MZV589835 NJK589835:NJR589835 NTG589835:NTN589835 ODC589835:ODJ589835 OMY589835:ONF589835 OWU589835:OXB589835 PGQ589835:PGX589835 PQM589835:PQT589835 QAI589835:QAP589835 QKE589835:QKL589835 QUA589835:QUH589835 RDW589835:RED589835 RNS589835:RNZ589835 RXO589835:RXV589835 SHK589835:SHR589835 SRG589835:SRN589835 TBC589835:TBJ589835 TKY589835:TLF589835 TUU589835:TVB589835 UEQ589835:UEX589835 UOM589835:UOT589835 UYI589835:UYP589835 VIE589835:VIL589835 VSA589835:VSH589835 WBW589835:WCD589835 WLS589835:WLZ589835 WVO589835:WVV589835 G655371:N655371 JC655371:JJ655371 SY655371:TF655371 ACU655371:ADB655371 AMQ655371:AMX655371 AWM655371:AWT655371 BGI655371:BGP655371 BQE655371:BQL655371 CAA655371:CAH655371 CJW655371:CKD655371 CTS655371:CTZ655371 DDO655371:DDV655371 DNK655371:DNR655371 DXG655371:DXN655371 EHC655371:EHJ655371 EQY655371:ERF655371 FAU655371:FBB655371 FKQ655371:FKX655371 FUM655371:FUT655371 GEI655371:GEP655371 GOE655371:GOL655371 GYA655371:GYH655371 HHW655371:HID655371 HRS655371:HRZ655371 IBO655371:IBV655371 ILK655371:ILR655371 IVG655371:IVN655371 JFC655371:JFJ655371 JOY655371:JPF655371 JYU655371:JZB655371 KIQ655371:KIX655371 KSM655371:KST655371 LCI655371:LCP655371 LME655371:LML655371 LWA655371:LWH655371 MFW655371:MGD655371 MPS655371:MPZ655371 MZO655371:MZV655371 NJK655371:NJR655371 NTG655371:NTN655371 ODC655371:ODJ655371 OMY655371:ONF655371 OWU655371:OXB655371 PGQ655371:PGX655371 PQM655371:PQT655371 QAI655371:QAP655371 QKE655371:QKL655371 QUA655371:QUH655371 RDW655371:RED655371 RNS655371:RNZ655371 RXO655371:RXV655371 SHK655371:SHR655371 SRG655371:SRN655371 TBC655371:TBJ655371 TKY655371:TLF655371 TUU655371:TVB655371 UEQ655371:UEX655371 UOM655371:UOT655371 UYI655371:UYP655371 VIE655371:VIL655371 VSA655371:VSH655371 WBW655371:WCD655371 WLS655371:WLZ655371 WVO655371:WVV655371 G720907:N720907 JC720907:JJ720907 SY720907:TF720907 ACU720907:ADB720907 AMQ720907:AMX720907 AWM720907:AWT720907 BGI720907:BGP720907 BQE720907:BQL720907 CAA720907:CAH720907 CJW720907:CKD720907 CTS720907:CTZ720907 DDO720907:DDV720907 DNK720907:DNR720907 DXG720907:DXN720907 EHC720907:EHJ720907 EQY720907:ERF720907 FAU720907:FBB720907 FKQ720907:FKX720907 FUM720907:FUT720907 GEI720907:GEP720907 GOE720907:GOL720907 GYA720907:GYH720907 HHW720907:HID720907 HRS720907:HRZ720907 IBO720907:IBV720907 ILK720907:ILR720907 IVG720907:IVN720907 JFC720907:JFJ720907 JOY720907:JPF720907 JYU720907:JZB720907 KIQ720907:KIX720907 KSM720907:KST720907 LCI720907:LCP720907 LME720907:LML720907 LWA720907:LWH720907 MFW720907:MGD720907 MPS720907:MPZ720907 MZO720907:MZV720907 NJK720907:NJR720907 NTG720907:NTN720907 ODC720907:ODJ720907 OMY720907:ONF720907 OWU720907:OXB720907 PGQ720907:PGX720907 PQM720907:PQT720907 QAI720907:QAP720907 QKE720907:QKL720907 QUA720907:QUH720907 RDW720907:RED720907 RNS720907:RNZ720907 RXO720907:RXV720907 SHK720907:SHR720907 SRG720907:SRN720907 TBC720907:TBJ720907 TKY720907:TLF720907 TUU720907:TVB720907 UEQ720907:UEX720907 UOM720907:UOT720907 UYI720907:UYP720907 VIE720907:VIL720907 VSA720907:VSH720907 WBW720907:WCD720907 WLS720907:WLZ720907 WVO720907:WVV720907 G786443:N786443 JC786443:JJ786443 SY786443:TF786443 ACU786443:ADB786443 AMQ786443:AMX786443 AWM786443:AWT786443 BGI786443:BGP786443 BQE786443:BQL786443 CAA786443:CAH786443 CJW786443:CKD786443 CTS786443:CTZ786443 DDO786443:DDV786443 DNK786443:DNR786443 DXG786443:DXN786443 EHC786443:EHJ786443 EQY786443:ERF786443 FAU786443:FBB786443 FKQ786443:FKX786443 FUM786443:FUT786443 GEI786443:GEP786443 GOE786443:GOL786443 GYA786443:GYH786443 HHW786443:HID786443 HRS786443:HRZ786443 IBO786443:IBV786443 ILK786443:ILR786443 IVG786443:IVN786443 JFC786443:JFJ786443 JOY786443:JPF786443 JYU786443:JZB786443 KIQ786443:KIX786443 KSM786443:KST786443 LCI786443:LCP786443 LME786443:LML786443 LWA786443:LWH786443 MFW786443:MGD786443 MPS786443:MPZ786443 MZO786443:MZV786443 NJK786443:NJR786443 NTG786443:NTN786443 ODC786443:ODJ786443 OMY786443:ONF786443 OWU786443:OXB786443 PGQ786443:PGX786443 PQM786443:PQT786443 QAI786443:QAP786443 QKE786443:QKL786443 QUA786443:QUH786443 RDW786443:RED786443 RNS786443:RNZ786443 RXO786443:RXV786443 SHK786443:SHR786443 SRG786443:SRN786443 TBC786443:TBJ786443 TKY786443:TLF786443 TUU786443:TVB786443 UEQ786443:UEX786443 UOM786443:UOT786443 UYI786443:UYP786443 VIE786443:VIL786443 VSA786443:VSH786443 WBW786443:WCD786443 WLS786443:WLZ786443 WVO786443:WVV786443 G851979:N851979 JC851979:JJ851979 SY851979:TF851979 ACU851979:ADB851979 AMQ851979:AMX851979 AWM851979:AWT851979 BGI851979:BGP851979 BQE851979:BQL851979 CAA851979:CAH851979 CJW851979:CKD851979 CTS851979:CTZ851979 DDO851979:DDV851979 DNK851979:DNR851979 DXG851979:DXN851979 EHC851979:EHJ851979 EQY851979:ERF851979 FAU851979:FBB851979 FKQ851979:FKX851979 FUM851979:FUT851979 GEI851979:GEP851979 GOE851979:GOL851979 GYA851979:GYH851979 HHW851979:HID851979 HRS851979:HRZ851979 IBO851979:IBV851979 ILK851979:ILR851979 IVG851979:IVN851979 JFC851979:JFJ851979 JOY851979:JPF851979 JYU851979:JZB851979 KIQ851979:KIX851979 KSM851979:KST851979 LCI851979:LCP851979 LME851979:LML851979 LWA851979:LWH851979 MFW851979:MGD851979 MPS851979:MPZ851979 MZO851979:MZV851979 NJK851979:NJR851979 NTG851979:NTN851979 ODC851979:ODJ851979 OMY851979:ONF851979 OWU851979:OXB851979 PGQ851979:PGX851979 PQM851979:PQT851979 QAI851979:QAP851979 QKE851979:QKL851979 QUA851979:QUH851979 RDW851979:RED851979 RNS851979:RNZ851979 RXO851979:RXV851979 SHK851979:SHR851979 SRG851979:SRN851979 TBC851979:TBJ851979 TKY851979:TLF851979 TUU851979:TVB851979 UEQ851979:UEX851979 UOM851979:UOT851979 UYI851979:UYP851979 VIE851979:VIL851979 VSA851979:VSH851979 WBW851979:WCD851979 WLS851979:WLZ851979 WVO851979:WVV851979 G917515:N917515 JC917515:JJ917515 SY917515:TF917515 ACU917515:ADB917515 AMQ917515:AMX917515 AWM917515:AWT917515 BGI917515:BGP917515 BQE917515:BQL917515 CAA917515:CAH917515 CJW917515:CKD917515 CTS917515:CTZ917515 DDO917515:DDV917515 DNK917515:DNR917515 DXG917515:DXN917515 EHC917515:EHJ917515 EQY917515:ERF917515 FAU917515:FBB917515 FKQ917515:FKX917515 FUM917515:FUT917515 GEI917515:GEP917515 GOE917515:GOL917515 GYA917515:GYH917515 HHW917515:HID917515 HRS917515:HRZ917515 IBO917515:IBV917515 ILK917515:ILR917515 IVG917515:IVN917515 JFC917515:JFJ917515 JOY917515:JPF917515 JYU917515:JZB917515 KIQ917515:KIX917515 KSM917515:KST917515 LCI917515:LCP917515 LME917515:LML917515 LWA917515:LWH917515 MFW917515:MGD917515 MPS917515:MPZ917515 MZO917515:MZV917515 NJK917515:NJR917515 NTG917515:NTN917515 ODC917515:ODJ917515 OMY917515:ONF917515 OWU917515:OXB917515 PGQ917515:PGX917515 PQM917515:PQT917515 QAI917515:QAP917515 QKE917515:QKL917515 QUA917515:QUH917515 RDW917515:RED917515 RNS917515:RNZ917515 RXO917515:RXV917515 SHK917515:SHR917515 SRG917515:SRN917515 TBC917515:TBJ917515 TKY917515:TLF917515 TUU917515:TVB917515 UEQ917515:UEX917515 UOM917515:UOT917515 UYI917515:UYP917515 VIE917515:VIL917515 VSA917515:VSH917515 WBW917515:WCD917515 WLS917515:WLZ917515 WVO917515:WVV917515 G983051:N983051 JC983051:JJ983051 SY983051:TF983051 ACU983051:ADB983051 AMQ983051:AMX983051 AWM983051:AWT983051 BGI983051:BGP983051 BQE983051:BQL983051 CAA983051:CAH983051 CJW983051:CKD983051 CTS983051:CTZ983051 DDO983051:DDV983051 DNK983051:DNR983051 DXG983051:DXN983051 EHC983051:EHJ983051 EQY983051:ERF983051 FAU983051:FBB983051 FKQ983051:FKX983051 FUM983051:FUT983051 GEI983051:GEP983051 GOE983051:GOL983051 GYA983051:GYH983051 HHW983051:HID983051 HRS983051:HRZ983051 IBO983051:IBV983051 ILK983051:ILR983051 IVG983051:IVN983051 JFC983051:JFJ983051 JOY983051:JPF983051 JYU983051:JZB983051 KIQ983051:KIX983051 KSM983051:KST983051 LCI983051:LCP983051 LME983051:LML983051 LWA983051:LWH983051 MFW983051:MGD983051 MPS983051:MPZ983051 MZO983051:MZV983051 NJK983051:NJR983051 NTG983051:NTN983051 ODC983051:ODJ983051 OMY983051:ONF983051 OWU983051:OXB983051 PGQ983051:PGX983051 PQM983051:PQT983051 QAI983051:QAP983051 QKE983051:QKL983051 QUA983051:QUH983051 RDW983051:RED983051 RNS983051:RNZ983051 RXO983051:RXV983051 SHK983051:SHR983051 SRG983051:SRN983051 TBC983051:TBJ983051 TKY983051:TLF983051 TUU983051:TVB983051 UEQ983051:UEX983051 UOM983051:UOT983051 UYI983051:UYP983051 VIE983051:VIL983051 VSA983051:VSH983051 WBW983051:WCD983051 WLS983051:WLZ983051 WVO983051:WVV983051" xr:uid="{00000000-0002-0000-0100-000003000000}">
      <formula1>"駅施設,地上建物"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P511"/>
  <sheetViews>
    <sheetView view="pageBreakPreview" zoomScale="85" zoomScaleNormal="100" zoomScaleSheetLayoutView="85" workbookViewId="0">
      <selection activeCell="K66" sqref="K66"/>
    </sheetView>
  </sheetViews>
  <sheetFormatPr baseColWidth="10" defaultColWidth="8.83203125" defaultRowHeight="13.5" customHeight="1"/>
  <cols>
    <col min="1" max="1" width="2.5" style="1287" customWidth="1"/>
    <col min="2" max="2" width="3.5" style="1287" customWidth="1"/>
    <col min="3" max="3" width="21.5" style="1287" customWidth="1"/>
    <col min="4" max="4" width="4" style="1287" customWidth="1"/>
    <col min="5" max="5" width="5.33203125" style="1287" customWidth="1"/>
    <col min="6" max="6" width="15.1640625" style="1287" customWidth="1"/>
    <col min="7" max="17" width="14.1640625" style="1288" customWidth="1"/>
    <col min="18" max="259" width="9" style="1287"/>
    <col min="260" max="260" width="2.5" style="1287" customWidth="1"/>
    <col min="261" max="261" width="3.5" style="1287" customWidth="1"/>
    <col min="262" max="262" width="21.5" style="1287" customWidth="1"/>
    <col min="263" max="263" width="4" style="1287" customWidth="1"/>
    <col min="264" max="264" width="5.33203125" style="1287" customWidth="1"/>
    <col min="265" max="265" width="15.1640625" style="1287" customWidth="1"/>
    <col min="266" max="273" width="14.1640625" style="1287" customWidth="1"/>
    <col min="274" max="515" width="9" style="1287"/>
    <col min="516" max="516" width="2.5" style="1287" customWidth="1"/>
    <col min="517" max="517" width="3.5" style="1287" customWidth="1"/>
    <col min="518" max="518" width="21.5" style="1287" customWidth="1"/>
    <col min="519" max="519" width="4" style="1287" customWidth="1"/>
    <col min="520" max="520" width="5.33203125" style="1287" customWidth="1"/>
    <col min="521" max="521" width="15.1640625" style="1287" customWidth="1"/>
    <col min="522" max="529" width="14.1640625" style="1287" customWidth="1"/>
    <col min="530" max="771" width="9" style="1287"/>
    <col min="772" max="772" width="2.5" style="1287" customWidth="1"/>
    <col min="773" max="773" width="3.5" style="1287" customWidth="1"/>
    <col min="774" max="774" width="21.5" style="1287" customWidth="1"/>
    <col min="775" max="775" width="4" style="1287" customWidth="1"/>
    <col min="776" max="776" width="5.33203125" style="1287" customWidth="1"/>
    <col min="777" max="777" width="15.1640625" style="1287" customWidth="1"/>
    <col min="778" max="785" width="14.1640625" style="1287" customWidth="1"/>
    <col min="786" max="1027" width="9" style="1287"/>
    <col min="1028" max="1028" width="2.5" style="1287" customWidth="1"/>
    <col min="1029" max="1029" width="3.5" style="1287" customWidth="1"/>
    <col min="1030" max="1030" width="21.5" style="1287" customWidth="1"/>
    <col min="1031" max="1031" width="4" style="1287" customWidth="1"/>
    <col min="1032" max="1032" width="5.33203125" style="1287" customWidth="1"/>
    <col min="1033" max="1033" width="15.1640625" style="1287" customWidth="1"/>
    <col min="1034" max="1041" width="14.1640625" style="1287" customWidth="1"/>
    <col min="1042" max="1283" width="9" style="1287"/>
    <col min="1284" max="1284" width="2.5" style="1287" customWidth="1"/>
    <col min="1285" max="1285" width="3.5" style="1287" customWidth="1"/>
    <col min="1286" max="1286" width="21.5" style="1287" customWidth="1"/>
    <col min="1287" max="1287" width="4" style="1287" customWidth="1"/>
    <col min="1288" max="1288" width="5.33203125" style="1287" customWidth="1"/>
    <col min="1289" max="1289" width="15.1640625" style="1287" customWidth="1"/>
    <col min="1290" max="1297" width="14.1640625" style="1287" customWidth="1"/>
    <col min="1298" max="1539" width="9" style="1287"/>
    <col min="1540" max="1540" width="2.5" style="1287" customWidth="1"/>
    <col min="1541" max="1541" width="3.5" style="1287" customWidth="1"/>
    <col min="1542" max="1542" width="21.5" style="1287" customWidth="1"/>
    <col min="1543" max="1543" width="4" style="1287" customWidth="1"/>
    <col min="1544" max="1544" width="5.33203125" style="1287" customWidth="1"/>
    <col min="1545" max="1545" width="15.1640625" style="1287" customWidth="1"/>
    <col min="1546" max="1553" width="14.1640625" style="1287" customWidth="1"/>
    <col min="1554" max="1795" width="9" style="1287"/>
    <col min="1796" max="1796" width="2.5" style="1287" customWidth="1"/>
    <col min="1797" max="1797" width="3.5" style="1287" customWidth="1"/>
    <col min="1798" max="1798" width="21.5" style="1287" customWidth="1"/>
    <col min="1799" max="1799" width="4" style="1287" customWidth="1"/>
    <col min="1800" max="1800" width="5.33203125" style="1287" customWidth="1"/>
    <col min="1801" max="1801" width="15.1640625" style="1287" customWidth="1"/>
    <col min="1802" max="1809" width="14.1640625" style="1287" customWidth="1"/>
    <col min="1810" max="2051" width="9" style="1287"/>
    <col min="2052" max="2052" width="2.5" style="1287" customWidth="1"/>
    <col min="2053" max="2053" width="3.5" style="1287" customWidth="1"/>
    <col min="2054" max="2054" width="21.5" style="1287" customWidth="1"/>
    <col min="2055" max="2055" width="4" style="1287" customWidth="1"/>
    <col min="2056" max="2056" width="5.33203125" style="1287" customWidth="1"/>
    <col min="2057" max="2057" width="15.1640625" style="1287" customWidth="1"/>
    <col min="2058" max="2065" width="14.1640625" style="1287" customWidth="1"/>
    <col min="2066" max="2307" width="9" style="1287"/>
    <col min="2308" max="2308" width="2.5" style="1287" customWidth="1"/>
    <col min="2309" max="2309" width="3.5" style="1287" customWidth="1"/>
    <col min="2310" max="2310" width="21.5" style="1287" customWidth="1"/>
    <col min="2311" max="2311" width="4" style="1287" customWidth="1"/>
    <col min="2312" max="2312" width="5.33203125" style="1287" customWidth="1"/>
    <col min="2313" max="2313" width="15.1640625" style="1287" customWidth="1"/>
    <col min="2314" max="2321" width="14.1640625" style="1287" customWidth="1"/>
    <col min="2322" max="2563" width="9" style="1287"/>
    <col min="2564" max="2564" width="2.5" style="1287" customWidth="1"/>
    <col min="2565" max="2565" width="3.5" style="1287" customWidth="1"/>
    <col min="2566" max="2566" width="21.5" style="1287" customWidth="1"/>
    <col min="2567" max="2567" width="4" style="1287" customWidth="1"/>
    <col min="2568" max="2568" width="5.33203125" style="1287" customWidth="1"/>
    <col min="2569" max="2569" width="15.1640625" style="1287" customWidth="1"/>
    <col min="2570" max="2577" width="14.1640625" style="1287" customWidth="1"/>
    <col min="2578" max="2819" width="9" style="1287"/>
    <col min="2820" max="2820" width="2.5" style="1287" customWidth="1"/>
    <col min="2821" max="2821" width="3.5" style="1287" customWidth="1"/>
    <col min="2822" max="2822" width="21.5" style="1287" customWidth="1"/>
    <col min="2823" max="2823" width="4" style="1287" customWidth="1"/>
    <col min="2824" max="2824" width="5.33203125" style="1287" customWidth="1"/>
    <col min="2825" max="2825" width="15.1640625" style="1287" customWidth="1"/>
    <col min="2826" max="2833" width="14.1640625" style="1287" customWidth="1"/>
    <col min="2834" max="3075" width="9" style="1287"/>
    <col min="3076" max="3076" width="2.5" style="1287" customWidth="1"/>
    <col min="3077" max="3077" width="3.5" style="1287" customWidth="1"/>
    <col min="3078" max="3078" width="21.5" style="1287" customWidth="1"/>
    <col min="3079" max="3079" width="4" style="1287" customWidth="1"/>
    <col min="3080" max="3080" width="5.33203125" style="1287" customWidth="1"/>
    <col min="3081" max="3081" width="15.1640625" style="1287" customWidth="1"/>
    <col min="3082" max="3089" width="14.1640625" style="1287" customWidth="1"/>
    <col min="3090" max="3331" width="9" style="1287"/>
    <col min="3332" max="3332" width="2.5" style="1287" customWidth="1"/>
    <col min="3333" max="3333" width="3.5" style="1287" customWidth="1"/>
    <col min="3334" max="3334" width="21.5" style="1287" customWidth="1"/>
    <col min="3335" max="3335" width="4" style="1287" customWidth="1"/>
    <col min="3336" max="3336" width="5.33203125" style="1287" customWidth="1"/>
    <col min="3337" max="3337" width="15.1640625" style="1287" customWidth="1"/>
    <col min="3338" max="3345" width="14.1640625" style="1287" customWidth="1"/>
    <col min="3346" max="3587" width="9" style="1287"/>
    <col min="3588" max="3588" width="2.5" style="1287" customWidth="1"/>
    <col min="3589" max="3589" width="3.5" style="1287" customWidth="1"/>
    <col min="3590" max="3590" width="21.5" style="1287" customWidth="1"/>
    <col min="3591" max="3591" width="4" style="1287" customWidth="1"/>
    <col min="3592" max="3592" width="5.33203125" style="1287" customWidth="1"/>
    <col min="3593" max="3593" width="15.1640625" style="1287" customWidth="1"/>
    <col min="3594" max="3601" width="14.1640625" style="1287" customWidth="1"/>
    <col min="3602" max="3843" width="9" style="1287"/>
    <col min="3844" max="3844" width="2.5" style="1287" customWidth="1"/>
    <col min="3845" max="3845" width="3.5" style="1287" customWidth="1"/>
    <col min="3846" max="3846" width="21.5" style="1287" customWidth="1"/>
    <col min="3847" max="3847" width="4" style="1287" customWidth="1"/>
    <col min="3848" max="3848" width="5.33203125" style="1287" customWidth="1"/>
    <col min="3849" max="3849" width="15.1640625" style="1287" customWidth="1"/>
    <col min="3850" max="3857" width="14.1640625" style="1287" customWidth="1"/>
    <col min="3858" max="4099" width="9" style="1287"/>
    <col min="4100" max="4100" width="2.5" style="1287" customWidth="1"/>
    <col min="4101" max="4101" width="3.5" style="1287" customWidth="1"/>
    <col min="4102" max="4102" width="21.5" style="1287" customWidth="1"/>
    <col min="4103" max="4103" width="4" style="1287" customWidth="1"/>
    <col min="4104" max="4104" width="5.33203125" style="1287" customWidth="1"/>
    <col min="4105" max="4105" width="15.1640625" style="1287" customWidth="1"/>
    <col min="4106" max="4113" width="14.1640625" style="1287" customWidth="1"/>
    <col min="4114" max="4355" width="9" style="1287"/>
    <col min="4356" max="4356" width="2.5" style="1287" customWidth="1"/>
    <col min="4357" max="4357" width="3.5" style="1287" customWidth="1"/>
    <col min="4358" max="4358" width="21.5" style="1287" customWidth="1"/>
    <col min="4359" max="4359" width="4" style="1287" customWidth="1"/>
    <col min="4360" max="4360" width="5.33203125" style="1287" customWidth="1"/>
    <col min="4361" max="4361" width="15.1640625" style="1287" customWidth="1"/>
    <col min="4362" max="4369" width="14.1640625" style="1287" customWidth="1"/>
    <col min="4370" max="4611" width="9" style="1287"/>
    <col min="4612" max="4612" width="2.5" style="1287" customWidth="1"/>
    <col min="4613" max="4613" width="3.5" style="1287" customWidth="1"/>
    <col min="4614" max="4614" width="21.5" style="1287" customWidth="1"/>
    <col min="4615" max="4615" width="4" style="1287" customWidth="1"/>
    <col min="4616" max="4616" width="5.33203125" style="1287" customWidth="1"/>
    <col min="4617" max="4617" width="15.1640625" style="1287" customWidth="1"/>
    <col min="4618" max="4625" width="14.1640625" style="1287" customWidth="1"/>
    <col min="4626" max="4867" width="9" style="1287"/>
    <col min="4868" max="4868" width="2.5" style="1287" customWidth="1"/>
    <col min="4869" max="4869" width="3.5" style="1287" customWidth="1"/>
    <col min="4870" max="4870" width="21.5" style="1287" customWidth="1"/>
    <col min="4871" max="4871" width="4" style="1287" customWidth="1"/>
    <col min="4872" max="4872" width="5.33203125" style="1287" customWidth="1"/>
    <col min="4873" max="4873" width="15.1640625" style="1287" customWidth="1"/>
    <col min="4874" max="4881" width="14.1640625" style="1287" customWidth="1"/>
    <col min="4882" max="5123" width="9" style="1287"/>
    <col min="5124" max="5124" width="2.5" style="1287" customWidth="1"/>
    <col min="5125" max="5125" width="3.5" style="1287" customWidth="1"/>
    <col min="5126" max="5126" width="21.5" style="1287" customWidth="1"/>
    <col min="5127" max="5127" width="4" style="1287" customWidth="1"/>
    <col min="5128" max="5128" width="5.33203125" style="1287" customWidth="1"/>
    <col min="5129" max="5129" width="15.1640625" style="1287" customWidth="1"/>
    <col min="5130" max="5137" width="14.1640625" style="1287" customWidth="1"/>
    <col min="5138" max="5379" width="9" style="1287"/>
    <col min="5380" max="5380" width="2.5" style="1287" customWidth="1"/>
    <col min="5381" max="5381" width="3.5" style="1287" customWidth="1"/>
    <col min="5382" max="5382" width="21.5" style="1287" customWidth="1"/>
    <col min="5383" max="5383" width="4" style="1287" customWidth="1"/>
    <col min="5384" max="5384" width="5.33203125" style="1287" customWidth="1"/>
    <col min="5385" max="5385" width="15.1640625" style="1287" customWidth="1"/>
    <col min="5386" max="5393" width="14.1640625" style="1287" customWidth="1"/>
    <col min="5394" max="5635" width="9" style="1287"/>
    <col min="5636" max="5636" width="2.5" style="1287" customWidth="1"/>
    <col min="5637" max="5637" width="3.5" style="1287" customWidth="1"/>
    <col min="5638" max="5638" width="21.5" style="1287" customWidth="1"/>
    <col min="5639" max="5639" width="4" style="1287" customWidth="1"/>
    <col min="5640" max="5640" width="5.33203125" style="1287" customWidth="1"/>
    <col min="5641" max="5641" width="15.1640625" style="1287" customWidth="1"/>
    <col min="5642" max="5649" width="14.1640625" style="1287" customWidth="1"/>
    <col min="5650" max="5891" width="9" style="1287"/>
    <col min="5892" max="5892" width="2.5" style="1287" customWidth="1"/>
    <col min="5893" max="5893" width="3.5" style="1287" customWidth="1"/>
    <col min="5894" max="5894" width="21.5" style="1287" customWidth="1"/>
    <col min="5895" max="5895" width="4" style="1287" customWidth="1"/>
    <col min="5896" max="5896" width="5.33203125" style="1287" customWidth="1"/>
    <col min="5897" max="5897" width="15.1640625" style="1287" customWidth="1"/>
    <col min="5898" max="5905" width="14.1640625" style="1287" customWidth="1"/>
    <col min="5906" max="6147" width="9" style="1287"/>
    <col min="6148" max="6148" width="2.5" style="1287" customWidth="1"/>
    <col min="6149" max="6149" width="3.5" style="1287" customWidth="1"/>
    <col min="6150" max="6150" width="21.5" style="1287" customWidth="1"/>
    <col min="6151" max="6151" width="4" style="1287" customWidth="1"/>
    <col min="6152" max="6152" width="5.33203125" style="1287" customWidth="1"/>
    <col min="6153" max="6153" width="15.1640625" style="1287" customWidth="1"/>
    <col min="6154" max="6161" width="14.1640625" style="1287" customWidth="1"/>
    <col min="6162" max="6403" width="9" style="1287"/>
    <col min="6404" max="6404" width="2.5" style="1287" customWidth="1"/>
    <col min="6405" max="6405" width="3.5" style="1287" customWidth="1"/>
    <col min="6406" max="6406" width="21.5" style="1287" customWidth="1"/>
    <col min="6407" max="6407" width="4" style="1287" customWidth="1"/>
    <col min="6408" max="6408" width="5.33203125" style="1287" customWidth="1"/>
    <col min="6409" max="6409" width="15.1640625" style="1287" customWidth="1"/>
    <col min="6410" max="6417" width="14.1640625" style="1287" customWidth="1"/>
    <col min="6418" max="6659" width="9" style="1287"/>
    <col min="6660" max="6660" width="2.5" style="1287" customWidth="1"/>
    <col min="6661" max="6661" width="3.5" style="1287" customWidth="1"/>
    <col min="6662" max="6662" width="21.5" style="1287" customWidth="1"/>
    <col min="6663" max="6663" width="4" style="1287" customWidth="1"/>
    <col min="6664" max="6664" width="5.33203125" style="1287" customWidth="1"/>
    <col min="6665" max="6665" width="15.1640625" style="1287" customWidth="1"/>
    <col min="6666" max="6673" width="14.1640625" style="1287" customWidth="1"/>
    <col min="6674" max="6915" width="9" style="1287"/>
    <col min="6916" max="6916" width="2.5" style="1287" customWidth="1"/>
    <col min="6917" max="6917" width="3.5" style="1287" customWidth="1"/>
    <col min="6918" max="6918" width="21.5" style="1287" customWidth="1"/>
    <col min="6919" max="6919" width="4" style="1287" customWidth="1"/>
    <col min="6920" max="6920" width="5.33203125" style="1287" customWidth="1"/>
    <col min="6921" max="6921" width="15.1640625" style="1287" customWidth="1"/>
    <col min="6922" max="6929" width="14.1640625" style="1287" customWidth="1"/>
    <col min="6930" max="7171" width="9" style="1287"/>
    <col min="7172" max="7172" width="2.5" style="1287" customWidth="1"/>
    <col min="7173" max="7173" width="3.5" style="1287" customWidth="1"/>
    <col min="7174" max="7174" width="21.5" style="1287" customWidth="1"/>
    <col min="7175" max="7175" width="4" style="1287" customWidth="1"/>
    <col min="7176" max="7176" width="5.33203125" style="1287" customWidth="1"/>
    <col min="7177" max="7177" width="15.1640625" style="1287" customWidth="1"/>
    <col min="7178" max="7185" width="14.1640625" style="1287" customWidth="1"/>
    <col min="7186" max="7427" width="9" style="1287"/>
    <col min="7428" max="7428" width="2.5" style="1287" customWidth="1"/>
    <col min="7429" max="7429" width="3.5" style="1287" customWidth="1"/>
    <col min="7430" max="7430" width="21.5" style="1287" customWidth="1"/>
    <col min="7431" max="7431" width="4" style="1287" customWidth="1"/>
    <col min="7432" max="7432" width="5.33203125" style="1287" customWidth="1"/>
    <col min="7433" max="7433" width="15.1640625" style="1287" customWidth="1"/>
    <col min="7434" max="7441" width="14.1640625" style="1287" customWidth="1"/>
    <col min="7442" max="7683" width="9" style="1287"/>
    <col min="7684" max="7684" width="2.5" style="1287" customWidth="1"/>
    <col min="7685" max="7685" width="3.5" style="1287" customWidth="1"/>
    <col min="7686" max="7686" width="21.5" style="1287" customWidth="1"/>
    <col min="7687" max="7687" width="4" style="1287" customWidth="1"/>
    <col min="7688" max="7688" width="5.33203125" style="1287" customWidth="1"/>
    <col min="7689" max="7689" width="15.1640625" style="1287" customWidth="1"/>
    <col min="7690" max="7697" width="14.1640625" style="1287" customWidth="1"/>
    <col min="7698" max="7939" width="9" style="1287"/>
    <col min="7940" max="7940" width="2.5" style="1287" customWidth="1"/>
    <col min="7941" max="7941" width="3.5" style="1287" customWidth="1"/>
    <col min="7942" max="7942" width="21.5" style="1287" customWidth="1"/>
    <col min="7943" max="7943" width="4" style="1287" customWidth="1"/>
    <col min="7944" max="7944" width="5.33203125" style="1287" customWidth="1"/>
    <col min="7945" max="7945" width="15.1640625" style="1287" customWidth="1"/>
    <col min="7946" max="7953" width="14.1640625" style="1287" customWidth="1"/>
    <col min="7954" max="8195" width="9" style="1287"/>
    <col min="8196" max="8196" width="2.5" style="1287" customWidth="1"/>
    <col min="8197" max="8197" width="3.5" style="1287" customWidth="1"/>
    <col min="8198" max="8198" width="21.5" style="1287" customWidth="1"/>
    <col min="8199" max="8199" width="4" style="1287" customWidth="1"/>
    <col min="8200" max="8200" width="5.33203125" style="1287" customWidth="1"/>
    <col min="8201" max="8201" width="15.1640625" style="1287" customWidth="1"/>
    <col min="8202" max="8209" width="14.1640625" style="1287" customWidth="1"/>
    <col min="8210" max="8451" width="9" style="1287"/>
    <col min="8452" max="8452" width="2.5" style="1287" customWidth="1"/>
    <col min="8453" max="8453" width="3.5" style="1287" customWidth="1"/>
    <col min="8454" max="8454" width="21.5" style="1287" customWidth="1"/>
    <col min="8455" max="8455" width="4" style="1287" customWidth="1"/>
    <col min="8456" max="8456" width="5.33203125" style="1287" customWidth="1"/>
    <col min="8457" max="8457" width="15.1640625" style="1287" customWidth="1"/>
    <col min="8458" max="8465" width="14.1640625" style="1287" customWidth="1"/>
    <col min="8466" max="8707" width="9" style="1287"/>
    <col min="8708" max="8708" width="2.5" style="1287" customWidth="1"/>
    <col min="8709" max="8709" width="3.5" style="1287" customWidth="1"/>
    <col min="8710" max="8710" width="21.5" style="1287" customWidth="1"/>
    <col min="8711" max="8711" width="4" style="1287" customWidth="1"/>
    <col min="8712" max="8712" width="5.33203125" style="1287" customWidth="1"/>
    <col min="8713" max="8713" width="15.1640625" style="1287" customWidth="1"/>
    <col min="8714" max="8721" width="14.1640625" style="1287" customWidth="1"/>
    <col min="8722" max="8963" width="9" style="1287"/>
    <col min="8964" max="8964" width="2.5" style="1287" customWidth="1"/>
    <col min="8965" max="8965" width="3.5" style="1287" customWidth="1"/>
    <col min="8966" max="8966" width="21.5" style="1287" customWidth="1"/>
    <col min="8967" max="8967" width="4" style="1287" customWidth="1"/>
    <col min="8968" max="8968" width="5.33203125" style="1287" customWidth="1"/>
    <col min="8969" max="8969" width="15.1640625" style="1287" customWidth="1"/>
    <col min="8970" max="8977" width="14.1640625" style="1287" customWidth="1"/>
    <col min="8978" max="9219" width="9" style="1287"/>
    <col min="9220" max="9220" width="2.5" style="1287" customWidth="1"/>
    <col min="9221" max="9221" width="3.5" style="1287" customWidth="1"/>
    <col min="9222" max="9222" width="21.5" style="1287" customWidth="1"/>
    <col min="9223" max="9223" width="4" style="1287" customWidth="1"/>
    <col min="9224" max="9224" width="5.33203125" style="1287" customWidth="1"/>
    <col min="9225" max="9225" width="15.1640625" style="1287" customWidth="1"/>
    <col min="9226" max="9233" width="14.1640625" style="1287" customWidth="1"/>
    <col min="9234" max="9475" width="9" style="1287"/>
    <col min="9476" max="9476" width="2.5" style="1287" customWidth="1"/>
    <col min="9477" max="9477" width="3.5" style="1287" customWidth="1"/>
    <col min="9478" max="9478" width="21.5" style="1287" customWidth="1"/>
    <col min="9479" max="9479" width="4" style="1287" customWidth="1"/>
    <col min="9480" max="9480" width="5.33203125" style="1287" customWidth="1"/>
    <col min="9481" max="9481" width="15.1640625" style="1287" customWidth="1"/>
    <col min="9482" max="9489" width="14.1640625" style="1287" customWidth="1"/>
    <col min="9490" max="9731" width="9" style="1287"/>
    <col min="9732" max="9732" width="2.5" style="1287" customWidth="1"/>
    <col min="9733" max="9733" width="3.5" style="1287" customWidth="1"/>
    <col min="9734" max="9734" width="21.5" style="1287" customWidth="1"/>
    <col min="9735" max="9735" width="4" style="1287" customWidth="1"/>
    <col min="9736" max="9736" width="5.33203125" style="1287" customWidth="1"/>
    <col min="9737" max="9737" width="15.1640625" style="1287" customWidth="1"/>
    <col min="9738" max="9745" width="14.1640625" style="1287" customWidth="1"/>
    <col min="9746" max="9987" width="9" style="1287"/>
    <col min="9988" max="9988" width="2.5" style="1287" customWidth="1"/>
    <col min="9989" max="9989" width="3.5" style="1287" customWidth="1"/>
    <col min="9990" max="9990" width="21.5" style="1287" customWidth="1"/>
    <col min="9991" max="9991" width="4" style="1287" customWidth="1"/>
    <col min="9992" max="9992" width="5.33203125" style="1287" customWidth="1"/>
    <col min="9993" max="9993" width="15.1640625" style="1287" customWidth="1"/>
    <col min="9994" max="10001" width="14.1640625" style="1287" customWidth="1"/>
    <col min="10002" max="10243" width="9" style="1287"/>
    <col min="10244" max="10244" width="2.5" style="1287" customWidth="1"/>
    <col min="10245" max="10245" width="3.5" style="1287" customWidth="1"/>
    <col min="10246" max="10246" width="21.5" style="1287" customWidth="1"/>
    <col min="10247" max="10247" width="4" style="1287" customWidth="1"/>
    <col min="10248" max="10248" width="5.33203125" style="1287" customWidth="1"/>
    <col min="10249" max="10249" width="15.1640625" style="1287" customWidth="1"/>
    <col min="10250" max="10257" width="14.1640625" style="1287" customWidth="1"/>
    <col min="10258" max="10499" width="9" style="1287"/>
    <col min="10500" max="10500" width="2.5" style="1287" customWidth="1"/>
    <col min="10501" max="10501" width="3.5" style="1287" customWidth="1"/>
    <col min="10502" max="10502" width="21.5" style="1287" customWidth="1"/>
    <col min="10503" max="10503" width="4" style="1287" customWidth="1"/>
    <col min="10504" max="10504" width="5.33203125" style="1287" customWidth="1"/>
    <col min="10505" max="10505" width="15.1640625" style="1287" customWidth="1"/>
    <col min="10506" max="10513" width="14.1640625" style="1287" customWidth="1"/>
    <col min="10514" max="10755" width="9" style="1287"/>
    <col min="10756" max="10756" width="2.5" style="1287" customWidth="1"/>
    <col min="10757" max="10757" width="3.5" style="1287" customWidth="1"/>
    <col min="10758" max="10758" width="21.5" style="1287" customWidth="1"/>
    <col min="10759" max="10759" width="4" style="1287" customWidth="1"/>
    <col min="10760" max="10760" width="5.33203125" style="1287" customWidth="1"/>
    <col min="10761" max="10761" width="15.1640625" style="1287" customWidth="1"/>
    <col min="10762" max="10769" width="14.1640625" style="1287" customWidth="1"/>
    <col min="10770" max="11011" width="9" style="1287"/>
    <col min="11012" max="11012" width="2.5" style="1287" customWidth="1"/>
    <col min="11013" max="11013" width="3.5" style="1287" customWidth="1"/>
    <col min="11014" max="11014" width="21.5" style="1287" customWidth="1"/>
    <col min="11015" max="11015" width="4" style="1287" customWidth="1"/>
    <col min="11016" max="11016" width="5.33203125" style="1287" customWidth="1"/>
    <col min="11017" max="11017" width="15.1640625" style="1287" customWidth="1"/>
    <col min="11018" max="11025" width="14.1640625" style="1287" customWidth="1"/>
    <col min="11026" max="11267" width="9" style="1287"/>
    <col min="11268" max="11268" width="2.5" style="1287" customWidth="1"/>
    <col min="11269" max="11269" width="3.5" style="1287" customWidth="1"/>
    <col min="11270" max="11270" width="21.5" style="1287" customWidth="1"/>
    <col min="11271" max="11271" width="4" style="1287" customWidth="1"/>
    <col min="11272" max="11272" width="5.33203125" style="1287" customWidth="1"/>
    <col min="11273" max="11273" width="15.1640625" style="1287" customWidth="1"/>
    <col min="11274" max="11281" width="14.1640625" style="1287" customWidth="1"/>
    <col min="11282" max="11523" width="9" style="1287"/>
    <col min="11524" max="11524" width="2.5" style="1287" customWidth="1"/>
    <col min="11525" max="11525" width="3.5" style="1287" customWidth="1"/>
    <col min="11526" max="11526" width="21.5" style="1287" customWidth="1"/>
    <col min="11527" max="11527" width="4" style="1287" customWidth="1"/>
    <col min="11528" max="11528" width="5.33203125" style="1287" customWidth="1"/>
    <col min="11529" max="11529" width="15.1640625" style="1287" customWidth="1"/>
    <col min="11530" max="11537" width="14.1640625" style="1287" customWidth="1"/>
    <col min="11538" max="11779" width="9" style="1287"/>
    <col min="11780" max="11780" width="2.5" style="1287" customWidth="1"/>
    <col min="11781" max="11781" width="3.5" style="1287" customWidth="1"/>
    <col min="11782" max="11782" width="21.5" style="1287" customWidth="1"/>
    <col min="11783" max="11783" width="4" style="1287" customWidth="1"/>
    <col min="11784" max="11784" width="5.33203125" style="1287" customWidth="1"/>
    <col min="11785" max="11785" width="15.1640625" style="1287" customWidth="1"/>
    <col min="11786" max="11793" width="14.1640625" style="1287" customWidth="1"/>
    <col min="11794" max="12035" width="9" style="1287"/>
    <col min="12036" max="12036" width="2.5" style="1287" customWidth="1"/>
    <col min="12037" max="12037" width="3.5" style="1287" customWidth="1"/>
    <col min="12038" max="12038" width="21.5" style="1287" customWidth="1"/>
    <col min="12039" max="12039" width="4" style="1287" customWidth="1"/>
    <col min="12040" max="12040" width="5.33203125" style="1287" customWidth="1"/>
    <col min="12041" max="12041" width="15.1640625" style="1287" customWidth="1"/>
    <col min="12042" max="12049" width="14.1640625" style="1287" customWidth="1"/>
    <col min="12050" max="12291" width="9" style="1287"/>
    <col min="12292" max="12292" width="2.5" style="1287" customWidth="1"/>
    <col min="12293" max="12293" width="3.5" style="1287" customWidth="1"/>
    <col min="12294" max="12294" width="21.5" style="1287" customWidth="1"/>
    <col min="12295" max="12295" width="4" style="1287" customWidth="1"/>
    <col min="12296" max="12296" width="5.33203125" style="1287" customWidth="1"/>
    <col min="12297" max="12297" width="15.1640625" style="1287" customWidth="1"/>
    <col min="12298" max="12305" width="14.1640625" style="1287" customWidth="1"/>
    <col min="12306" max="12547" width="9" style="1287"/>
    <col min="12548" max="12548" width="2.5" style="1287" customWidth="1"/>
    <col min="12549" max="12549" width="3.5" style="1287" customWidth="1"/>
    <col min="12550" max="12550" width="21.5" style="1287" customWidth="1"/>
    <col min="12551" max="12551" width="4" style="1287" customWidth="1"/>
    <col min="12552" max="12552" width="5.33203125" style="1287" customWidth="1"/>
    <col min="12553" max="12553" width="15.1640625" style="1287" customWidth="1"/>
    <col min="12554" max="12561" width="14.1640625" style="1287" customWidth="1"/>
    <col min="12562" max="12803" width="9" style="1287"/>
    <col min="12804" max="12804" width="2.5" style="1287" customWidth="1"/>
    <col min="12805" max="12805" width="3.5" style="1287" customWidth="1"/>
    <col min="12806" max="12806" width="21.5" style="1287" customWidth="1"/>
    <col min="12807" max="12807" width="4" style="1287" customWidth="1"/>
    <col min="12808" max="12808" width="5.33203125" style="1287" customWidth="1"/>
    <col min="12809" max="12809" width="15.1640625" style="1287" customWidth="1"/>
    <col min="12810" max="12817" width="14.1640625" style="1287" customWidth="1"/>
    <col min="12818" max="13059" width="9" style="1287"/>
    <col min="13060" max="13060" width="2.5" style="1287" customWidth="1"/>
    <col min="13061" max="13061" width="3.5" style="1287" customWidth="1"/>
    <col min="13062" max="13062" width="21.5" style="1287" customWidth="1"/>
    <col min="13063" max="13063" width="4" style="1287" customWidth="1"/>
    <col min="13064" max="13064" width="5.33203125" style="1287" customWidth="1"/>
    <col min="13065" max="13065" width="15.1640625" style="1287" customWidth="1"/>
    <col min="13066" max="13073" width="14.1640625" style="1287" customWidth="1"/>
    <col min="13074" max="13315" width="9" style="1287"/>
    <col min="13316" max="13316" width="2.5" style="1287" customWidth="1"/>
    <col min="13317" max="13317" width="3.5" style="1287" customWidth="1"/>
    <col min="13318" max="13318" width="21.5" style="1287" customWidth="1"/>
    <col min="13319" max="13319" width="4" style="1287" customWidth="1"/>
    <col min="13320" max="13320" width="5.33203125" style="1287" customWidth="1"/>
    <col min="13321" max="13321" width="15.1640625" style="1287" customWidth="1"/>
    <col min="13322" max="13329" width="14.1640625" style="1287" customWidth="1"/>
    <col min="13330" max="13571" width="9" style="1287"/>
    <col min="13572" max="13572" width="2.5" style="1287" customWidth="1"/>
    <col min="13573" max="13573" width="3.5" style="1287" customWidth="1"/>
    <col min="13574" max="13574" width="21.5" style="1287" customWidth="1"/>
    <col min="13575" max="13575" width="4" style="1287" customWidth="1"/>
    <col min="13576" max="13576" width="5.33203125" style="1287" customWidth="1"/>
    <col min="13577" max="13577" width="15.1640625" style="1287" customWidth="1"/>
    <col min="13578" max="13585" width="14.1640625" style="1287" customWidth="1"/>
    <col min="13586" max="13827" width="9" style="1287"/>
    <col min="13828" max="13828" width="2.5" style="1287" customWidth="1"/>
    <col min="13829" max="13829" width="3.5" style="1287" customWidth="1"/>
    <col min="13830" max="13830" width="21.5" style="1287" customWidth="1"/>
    <col min="13831" max="13831" width="4" style="1287" customWidth="1"/>
    <col min="13832" max="13832" width="5.33203125" style="1287" customWidth="1"/>
    <col min="13833" max="13833" width="15.1640625" style="1287" customWidth="1"/>
    <col min="13834" max="13841" width="14.1640625" style="1287" customWidth="1"/>
    <col min="13842" max="14083" width="9" style="1287"/>
    <col min="14084" max="14084" width="2.5" style="1287" customWidth="1"/>
    <col min="14085" max="14085" width="3.5" style="1287" customWidth="1"/>
    <col min="14086" max="14086" width="21.5" style="1287" customWidth="1"/>
    <col min="14087" max="14087" width="4" style="1287" customWidth="1"/>
    <col min="14088" max="14088" width="5.33203125" style="1287" customWidth="1"/>
    <col min="14089" max="14089" width="15.1640625" style="1287" customWidth="1"/>
    <col min="14090" max="14097" width="14.1640625" style="1287" customWidth="1"/>
    <col min="14098" max="14339" width="9" style="1287"/>
    <col min="14340" max="14340" width="2.5" style="1287" customWidth="1"/>
    <col min="14341" max="14341" width="3.5" style="1287" customWidth="1"/>
    <col min="14342" max="14342" width="21.5" style="1287" customWidth="1"/>
    <col min="14343" max="14343" width="4" style="1287" customWidth="1"/>
    <col min="14344" max="14344" width="5.33203125" style="1287" customWidth="1"/>
    <col min="14345" max="14345" width="15.1640625" style="1287" customWidth="1"/>
    <col min="14346" max="14353" width="14.1640625" style="1287" customWidth="1"/>
    <col min="14354" max="14595" width="9" style="1287"/>
    <col min="14596" max="14596" width="2.5" style="1287" customWidth="1"/>
    <col min="14597" max="14597" width="3.5" style="1287" customWidth="1"/>
    <col min="14598" max="14598" width="21.5" style="1287" customWidth="1"/>
    <col min="14599" max="14599" width="4" style="1287" customWidth="1"/>
    <col min="14600" max="14600" width="5.33203125" style="1287" customWidth="1"/>
    <col min="14601" max="14601" width="15.1640625" style="1287" customWidth="1"/>
    <col min="14602" max="14609" width="14.1640625" style="1287" customWidth="1"/>
    <col min="14610" max="14851" width="9" style="1287"/>
    <col min="14852" max="14852" width="2.5" style="1287" customWidth="1"/>
    <col min="14853" max="14853" width="3.5" style="1287" customWidth="1"/>
    <col min="14854" max="14854" width="21.5" style="1287" customWidth="1"/>
    <col min="14855" max="14855" width="4" style="1287" customWidth="1"/>
    <col min="14856" max="14856" width="5.33203125" style="1287" customWidth="1"/>
    <col min="14857" max="14857" width="15.1640625" style="1287" customWidth="1"/>
    <col min="14858" max="14865" width="14.1640625" style="1287" customWidth="1"/>
    <col min="14866" max="15107" width="9" style="1287"/>
    <col min="15108" max="15108" width="2.5" style="1287" customWidth="1"/>
    <col min="15109" max="15109" width="3.5" style="1287" customWidth="1"/>
    <col min="15110" max="15110" width="21.5" style="1287" customWidth="1"/>
    <col min="15111" max="15111" width="4" style="1287" customWidth="1"/>
    <col min="15112" max="15112" width="5.33203125" style="1287" customWidth="1"/>
    <col min="15113" max="15113" width="15.1640625" style="1287" customWidth="1"/>
    <col min="15114" max="15121" width="14.1640625" style="1287" customWidth="1"/>
    <col min="15122" max="15363" width="9" style="1287"/>
    <col min="15364" max="15364" width="2.5" style="1287" customWidth="1"/>
    <col min="15365" max="15365" width="3.5" style="1287" customWidth="1"/>
    <col min="15366" max="15366" width="21.5" style="1287" customWidth="1"/>
    <col min="15367" max="15367" width="4" style="1287" customWidth="1"/>
    <col min="15368" max="15368" width="5.33203125" style="1287" customWidth="1"/>
    <col min="15369" max="15369" width="15.1640625" style="1287" customWidth="1"/>
    <col min="15370" max="15377" width="14.1640625" style="1287" customWidth="1"/>
    <col min="15378" max="15619" width="9" style="1287"/>
    <col min="15620" max="15620" width="2.5" style="1287" customWidth="1"/>
    <col min="15621" max="15621" width="3.5" style="1287" customWidth="1"/>
    <col min="15622" max="15622" width="21.5" style="1287" customWidth="1"/>
    <col min="15623" max="15623" width="4" style="1287" customWidth="1"/>
    <col min="15624" max="15624" width="5.33203125" style="1287" customWidth="1"/>
    <col min="15625" max="15625" width="15.1640625" style="1287" customWidth="1"/>
    <col min="15626" max="15633" width="14.1640625" style="1287" customWidth="1"/>
    <col min="15634" max="15875" width="9" style="1287"/>
    <col min="15876" max="15876" width="2.5" style="1287" customWidth="1"/>
    <col min="15877" max="15877" width="3.5" style="1287" customWidth="1"/>
    <col min="15878" max="15878" width="21.5" style="1287" customWidth="1"/>
    <col min="15879" max="15879" width="4" style="1287" customWidth="1"/>
    <col min="15880" max="15880" width="5.33203125" style="1287" customWidth="1"/>
    <col min="15881" max="15881" width="15.1640625" style="1287" customWidth="1"/>
    <col min="15882" max="15889" width="14.1640625" style="1287" customWidth="1"/>
    <col min="15890" max="16131" width="9" style="1287"/>
    <col min="16132" max="16132" width="2.5" style="1287" customWidth="1"/>
    <col min="16133" max="16133" width="3.5" style="1287" customWidth="1"/>
    <col min="16134" max="16134" width="21.5" style="1287" customWidth="1"/>
    <col min="16135" max="16135" width="4" style="1287" customWidth="1"/>
    <col min="16136" max="16136" width="5.33203125" style="1287" customWidth="1"/>
    <col min="16137" max="16137" width="15.1640625" style="1287" customWidth="1"/>
    <col min="16138" max="16145" width="14.1640625" style="1287" customWidth="1"/>
    <col min="16146" max="16384" width="9" style="1287"/>
  </cols>
  <sheetData>
    <row r="1" spans="1:17" s="846" customFormat="1" ht="14">
      <c r="A1" s="840"/>
      <c r="B1" s="840"/>
      <c r="C1" s="841"/>
      <c r="D1" s="841"/>
      <c r="E1" s="842" t="s">
        <v>2513</v>
      </c>
      <c r="F1" s="2578" t="str">
        <f>+表紙!D11</f>
        <v>東梅田外１駅可動式ホーム柵設置に伴う建築その他工事</v>
      </c>
      <c r="G1" s="2578"/>
      <c r="H1" s="2578"/>
      <c r="I1" s="2578"/>
      <c r="J1" s="2578"/>
      <c r="K1" s="2578"/>
      <c r="L1" s="2578"/>
      <c r="M1" s="2578"/>
      <c r="N1" s="2578"/>
      <c r="O1" s="843"/>
      <c r="P1" s="844">
        <v>20180319</v>
      </c>
      <c r="Q1" s="845" t="s">
        <v>2514</v>
      </c>
    </row>
    <row r="2" spans="1:17" s="846" customFormat="1" ht="13.5" customHeight="1">
      <c r="A2" s="840"/>
      <c r="B2" s="840"/>
      <c r="C2" s="2579" t="s">
        <v>2515</v>
      </c>
      <c r="D2" s="2579"/>
      <c r="E2" s="2579"/>
      <c r="F2" s="840" t="s">
        <v>2516</v>
      </c>
      <c r="G2" s="847">
        <v>0.74370000000000003</v>
      </c>
      <c r="H2" s="848"/>
      <c r="K2" s="848"/>
      <c r="L2" s="2575" t="s">
        <v>3036</v>
      </c>
      <c r="N2" s="848"/>
      <c r="O2" s="848"/>
      <c r="P2" s="840"/>
      <c r="Q2" s="848" t="s">
        <v>246</v>
      </c>
    </row>
    <row r="3" spans="1:17" s="846" customFormat="1" ht="14">
      <c r="A3" s="849"/>
      <c r="B3" s="850"/>
      <c r="C3" s="851"/>
      <c r="D3" s="852"/>
      <c r="E3" s="853"/>
      <c r="F3" s="854" t="s">
        <v>2517</v>
      </c>
      <c r="G3" s="2577" t="str">
        <f>+G87</f>
        <v>可動式ホーム柵設置に伴う建築工事</v>
      </c>
      <c r="H3" s="855" t="str">
        <f t="shared" ref="H3:N3" si="0">+H87</f>
        <v>隙間解消工事</v>
      </c>
      <c r="I3" s="855" t="str">
        <f t="shared" si="0"/>
        <v>列車停止位置変更に伴う建築工事</v>
      </c>
      <c r="J3" s="855" t="str">
        <f t="shared" si="0"/>
        <v>床仕上改造その他工事</v>
      </c>
      <c r="K3" s="855" t="str">
        <f t="shared" si="0"/>
        <v>整列乗車対策工事</v>
      </c>
      <c r="L3" s="2576" t="str">
        <f t="shared" si="0"/>
        <v>可動式ホーム柵設置に伴う建築工事</v>
      </c>
      <c r="M3" s="855" t="str">
        <f t="shared" si="0"/>
        <v>隙間解消工事</v>
      </c>
      <c r="N3" s="855" t="str">
        <f t="shared" si="0"/>
        <v>床仕上改造その他工事</v>
      </c>
      <c r="O3" s="855">
        <f t="shared" ref="O3:Q3" si="1">O86</f>
        <v>0</v>
      </c>
      <c r="P3" s="855">
        <f t="shared" si="1"/>
        <v>0</v>
      </c>
      <c r="Q3" s="855">
        <f t="shared" si="1"/>
        <v>0</v>
      </c>
    </row>
    <row r="4" spans="1:17" s="846" customFormat="1" ht="13.5" customHeight="1">
      <c r="A4" s="849"/>
      <c r="B4" s="2580" t="s">
        <v>2518</v>
      </c>
      <c r="C4" s="2580"/>
      <c r="D4" s="2580"/>
      <c r="E4" s="853"/>
      <c r="F4" s="856">
        <f>SUM(G4:Q4)</f>
        <v>5266849</v>
      </c>
      <c r="G4" s="857">
        <f>G80</f>
        <v>3045088</v>
      </c>
      <c r="H4" s="858">
        <f t="shared" ref="H4:Q5" si="2">H80</f>
        <v>0</v>
      </c>
      <c r="I4" s="858">
        <f t="shared" si="2"/>
        <v>0</v>
      </c>
      <c r="J4" s="858">
        <f t="shared" ref="J4:L4" si="3">J80</f>
        <v>0</v>
      </c>
      <c r="K4" s="858">
        <f t="shared" si="3"/>
        <v>0</v>
      </c>
      <c r="L4" s="858">
        <f t="shared" si="3"/>
        <v>2221761</v>
      </c>
      <c r="M4" s="858">
        <f t="shared" si="2"/>
        <v>0</v>
      </c>
      <c r="N4" s="858">
        <f t="shared" si="2"/>
        <v>0</v>
      </c>
      <c r="O4" s="858">
        <f t="shared" si="2"/>
        <v>0</v>
      </c>
      <c r="P4" s="856">
        <f t="shared" si="2"/>
        <v>0</v>
      </c>
      <c r="Q4" s="859">
        <f t="shared" si="2"/>
        <v>0</v>
      </c>
    </row>
    <row r="5" spans="1:17" s="846" customFormat="1" ht="13.5" customHeight="1">
      <c r="A5" s="860"/>
      <c r="B5" s="2581" t="s">
        <v>2519</v>
      </c>
      <c r="C5" s="2581"/>
      <c r="D5" s="2581"/>
      <c r="E5" s="861"/>
      <c r="F5" s="862">
        <f>SUM(G5:Q5)</f>
        <v>1023151</v>
      </c>
      <c r="G5" s="863">
        <f>G81</f>
        <v>590912</v>
      </c>
      <c r="H5" s="864">
        <f t="shared" si="2"/>
        <v>0</v>
      </c>
      <c r="I5" s="864">
        <f t="shared" si="2"/>
        <v>0</v>
      </c>
      <c r="J5" s="864">
        <f t="shared" ref="J5:L5" si="4">J81</f>
        <v>0</v>
      </c>
      <c r="K5" s="864">
        <f t="shared" si="4"/>
        <v>0</v>
      </c>
      <c r="L5" s="864">
        <f t="shared" si="4"/>
        <v>432239</v>
      </c>
      <c r="M5" s="864">
        <f t="shared" si="2"/>
        <v>0</v>
      </c>
      <c r="N5" s="864">
        <f t="shared" si="2"/>
        <v>0</v>
      </c>
      <c r="O5" s="864">
        <f t="shared" si="2"/>
        <v>0</v>
      </c>
      <c r="P5" s="862">
        <f t="shared" si="2"/>
        <v>0</v>
      </c>
      <c r="Q5" s="865">
        <f t="shared" si="2"/>
        <v>0</v>
      </c>
    </row>
    <row r="6" spans="1:17" s="846" customFormat="1" ht="13.5" customHeight="1">
      <c r="A6" s="866"/>
      <c r="B6" s="2582" t="s">
        <v>234</v>
      </c>
      <c r="C6" s="2582"/>
      <c r="D6" s="2582"/>
      <c r="E6" s="867"/>
      <c r="F6" s="868">
        <f>SUM(G6:Q6)</f>
        <v>6290000</v>
      </c>
      <c r="G6" s="869">
        <f t="shared" ref="G6:Q6" si="5">G79</f>
        <v>3636000</v>
      </c>
      <c r="H6" s="870">
        <f t="shared" si="5"/>
        <v>0</v>
      </c>
      <c r="I6" s="870">
        <f t="shared" si="5"/>
        <v>0</v>
      </c>
      <c r="J6" s="870">
        <f t="shared" ref="J6:L6" si="6">J79</f>
        <v>0</v>
      </c>
      <c r="K6" s="870">
        <f t="shared" si="6"/>
        <v>0</v>
      </c>
      <c r="L6" s="870">
        <f t="shared" si="6"/>
        <v>2654000</v>
      </c>
      <c r="M6" s="870">
        <f t="shared" si="5"/>
        <v>0</v>
      </c>
      <c r="N6" s="870">
        <f t="shared" si="5"/>
        <v>0</v>
      </c>
      <c r="O6" s="870">
        <f t="shared" si="5"/>
        <v>0</v>
      </c>
      <c r="P6" s="868">
        <f t="shared" si="5"/>
        <v>0</v>
      </c>
      <c r="Q6" s="871">
        <f t="shared" si="5"/>
        <v>0</v>
      </c>
    </row>
    <row r="7" spans="1:17" s="846" customFormat="1" ht="14">
      <c r="A7" s="860"/>
      <c r="B7" s="840"/>
      <c r="C7" s="872"/>
      <c r="D7" s="873"/>
      <c r="E7" s="874"/>
      <c r="F7" s="841"/>
      <c r="G7" s="875" t="s">
        <v>2520</v>
      </c>
      <c r="H7" s="876"/>
      <c r="I7" s="876"/>
      <c r="J7" s="876"/>
      <c r="K7" s="848"/>
      <c r="L7" s="848"/>
      <c r="M7" s="876"/>
      <c r="N7" s="848"/>
      <c r="O7" s="848"/>
      <c r="P7" s="848"/>
      <c r="Q7" s="848" t="s">
        <v>2521</v>
      </c>
    </row>
    <row r="8" spans="1:17" s="885" customFormat="1" ht="13.5" customHeight="1">
      <c r="A8" s="877"/>
      <c r="B8" s="878"/>
      <c r="C8" s="879" t="s">
        <v>2522</v>
      </c>
      <c r="D8" s="880"/>
      <c r="E8" s="881"/>
      <c r="F8" s="882" t="s">
        <v>2523</v>
      </c>
      <c r="G8" s="883">
        <f>G84</f>
        <v>16.600000000000001</v>
      </c>
      <c r="H8" s="883">
        <f t="shared" ref="H8:Q8" si="7">H84</f>
        <v>11</v>
      </c>
      <c r="I8" s="883">
        <f t="shared" si="7"/>
        <v>16.600000000000001</v>
      </c>
      <c r="J8" s="883">
        <f t="shared" ref="J8:L8" si="8">J84</f>
        <v>16.600000000000001</v>
      </c>
      <c r="K8" s="883">
        <f t="shared" si="8"/>
        <v>16.600000000000001</v>
      </c>
      <c r="L8" s="883">
        <f t="shared" si="8"/>
        <v>16.600000000000001</v>
      </c>
      <c r="M8" s="883">
        <f t="shared" si="7"/>
        <v>11</v>
      </c>
      <c r="N8" s="883">
        <f t="shared" si="7"/>
        <v>16.600000000000001</v>
      </c>
      <c r="O8" s="883">
        <f t="shared" si="7"/>
        <v>0</v>
      </c>
      <c r="P8" s="883">
        <f t="shared" si="7"/>
        <v>0</v>
      </c>
      <c r="Q8" s="884">
        <f t="shared" si="7"/>
        <v>0</v>
      </c>
    </row>
    <row r="9" spans="1:17" s="885" customFormat="1" ht="13.5" customHeight="1">
      <c r="A9" s="886"/>
      <c r="B9" s="887"/>
      <c r="C9" s="888" t="s">
        <v>2524</v>
      </c>
      <c r="D9" s="889"/>
      <c r="E9" s="890"/>
      <c r="F9" s="891" t="s">
        <v>2523</v>
      </c>
      <c r="G9" s="892" t="str">
        <f>IF(G85="","",G85)</f>
        <v>改修</v>
      </c>
      <c r="H9" s="892" t="str">
        <f t="shared" ref="H9:Q9" si="9">IF(H85="","",H85)</f>
        <v>改修</v>
      </c>
      <c r="I9" s="892" t="str">
        <f t="shared" si="9"/>
        <v>改修</v>
      </c>
      <c r="J9" s="892" t="str">
        <f t="shared" ref="J9:L9" si="10">IF(J85="","",J85)</f>
        <v>改修</v>
      </c>
      <c r="K9" s="892" t="str">
        <f t="shared" si="10"/>
        <v>改修</v>
      </c>
      <c r="L9" s="892" t="str">
        <f t="shared" si="10"/>
        <v>改修</v>
      </c>
      <c r="M9" s="892" t="str">
        <f t="shared" si="9"/>
        <v>改修</v>
      </c>
      <c r="N9" s="892" t="str">
        <f t="shared" si="9"/>
        <v>改修</v>
      </c>
      <c r="O9" s="892" t="str">
        <f t="shared" si="9"/>
        <v/>
      </c>
      <c r="P9" s="892" t="str">
        <f t="shared" si="9"/>
        <v/>
      </c>
      <c r="Q9" s="893" t="str">
        <f t="shared" si="9"/>
        <v/>
      </c>
    </row>
    <row r="10" spans="1:17" s="896" customFormat="1" ht="13.5" customHeight="1">
      <c r="A10" s="2583" t="s">
        <v>2525</v>
      </c>
      <c r="B10" s="2584"/>
      <c r="C10" s="2584"/>
      <c r="D10" s="2584"/>
      <c r="E10" s="2584"/>
      <c r="F10" s="2585"/>
      <c r="G10" s="894" t="str">
        <f>G88</f>
        <v>積上げ・率処理併用</v>
      </c>
      <c r="H10" s="894" t="str">
        <f t="shared" ref="H10:Q12" si="11">H88</f>
        <v>積上げ・率処理併用</v>
      </c>
      <c r="I10" s="894" t="str">
        <f t="shared" si="11"/>
        <v>積上げ・率処理併用</v>
      </c>
      <c r="J10" s="894" t="str">
        <f t="shared" ref="J10:L10" si="12">J88</f>
        <v>積上げ・率処理併用</v>
      </c>
      <c r="K10" s="894" t="str">
        <f t="shared" si="12"/>
        <v>積上げ・率処理併用</v>
      </c>
      <c r="L10" s="894" t="str">
        <f t="shared" si="12"/>
        <v>積上げ・率処理併用</v>
      </c>
      <c r="M10" s="894" t="str">
        <f t="shared" si="11"/>
        <v>積上げ・率処理併用</v>
      </c>
      <c r="N10" s="894" t="str">
        <f t="shared" si="11"/>
        <v>積上げ・率処理併用</v>
      </c>
      <c r="O10" s="894" t="str">
        <f t="shared" si="11"/>
        <v>積上げ・率処理併用</v>
      </c>
      <c r="P10" s="894" t="str">
        <f t="shared" si="11"/>
        <v>積上げ・率処理併用</v>
      </c>
      <c r="Q10" s="895" t="str">
        <f t="shared" si="11"/>
        <v>積上げ・率処理併用</v>
      </c>
    </row>
    <row r="11" spans="1:17" s="896" customFormat="1" ht="30" customHeight="1">
      <c r="A11" s="2596" t="s">
        <v>2526</v>
      </c>
      <c r="B11" s="2597"/>
      <c r="C11" s="2597"/>
      <c r="D11" s="2597"/>
      <c r="E11" s="2597"/>
      <c r="F11" s="2598"/>
      <c r="G11" s="897" t="str">
        <f>G89</f>
        <v>駅施設</v>
      </c>
      <c r="H11" s="897" t="str">
        <f t="shared" si="11"/>
        <v>駅施設</v>
      </c>
      <c r="I11" s="897" t="str">
        <f t="shared" si="11"/>
        <v>駅施設</v>
      </c>
      <c r="J11" s="897" t="str">
        <f t="shared" ref="J11:L11" si="13">J89</f>
        <v>駅施設</v>
      </c>
      <c r="K11" s="897" t="str">
        <f t="shared" si="13"/>
        <v>駅施設</v>
      </c>
      <c r="L11" s="897" t="str">
        <f t="shared" si="13"/>
        <v>駅施設</v>
      </c>
      <c r="M11" s="897" t="str">
        <f t="shared" si="11"/>
        <v>駅施設</v>
      </c>
      <c r="N11" s="897" t="str">
        <f t="shared" si="11"/>
        <v>駅施設</v>
      </c>
      <c r="O11" s="897" t="str">
        <f t="shared" si="11"/>
        <v>駅施設</v>
      </c>
      <c r="P11" s="897" t="str">
        <f t="shared" si="11"/>
        <v>駅施設</v>
      </c>
      <c r="Q11" s="898" t="str">
        <f t="shared" si="11"/>
        <v>駅施設</v>
      </c>
    </row>
    <row r="12" spans="1:17" s="896" customFormat="1" ht="30" customHeight="1">
      <c r="A12" s="2599" t="s">
        <v>2527</v>
      </c>
      <c r="B12" s="2600"/>
      <c r="C12" s="2600"/>
      <c r="D12" s="2600"/>
      <c r="E12" s="2600"/>
      <c r="F12" s="2601"/>
      <c r="G12" s="899" t="str">
        <f>G90</f>
        <v>無し</v>
      </c>
      <c r="H12" s="899" t="str">
        <f t="shared" si="11"/>
        <v>無し</v>
      </c>
      <c r="I12" s="899" t="str">
        <f t="shared" si="11"/>
        <v>無し</v>
      </c>
      <c r="J12" s="899" t="str">
        <f t="shared" ref="J12:L12" si="14">J90</f>
        <v>無し</v>
      </c>
      <c r="K12" s="899" t="str">
        <f t="shared" si="14"/>
        <v>無し</v>
      </c>
      <c r="L12" s="899" t="str">
        <f t="shared" si="14"/>
        <v>無し</v>
      </c>
      <c r="M12" s="899" t="str">
        <f t="shared" si="11"/>
        <v>無し</v>
      </c>
      <c r="N12" s="899" t="str">
        <f t="shared" si="11"/>
        <v>無し</v>
      </c>
      <c r="O12" s="899" t="str">
        <f t="shared" si="11"/>
        <v>無し</v>
      </c>
      <c r="P12" s="899" t="str">
        <f t="shared" si="11"/>
        <v>無し</v>
      </c>
      <c r="Q12" s="900" t="str">
        <f t="shared" si="11"/>
        <v>無し</v>
      </c>
    </row>
    <row r="13" spans="1:17" s="896" customFormat="1" ht="13.5" customHeight="1">
      <c r="A13" s="877"/>
      <c r="B13" s="901" t="s">
        <v>2528</v>
      </c>
      <c r="C13" s="902"/>
      <c r="D13" s="902"/>
      <c r="E13" s="903"/>
      <c r="F13" s="904">
        <f>SUM(G13:Q13)</f>
        <v>7081953</v>
      </c>
      <c r="G13" s="905">
        <f>+G14+G15</f>
        <v>4094511</v>
      </c>
      <c r="H13" s="905">
        <f t="shared" ref="H13:Q13" si="15">+H14+H15</f>
        <v>0</v>
      </c>
      <c r="I13" s="905">
        <f t="shared" si="15"/>
        <v>0</v>
      </c>
      <c r="J13" s="905">
        <f t="shared" ref="J13:L13" si="16">+J14+J15</f>
        <v>0</v>
      </c>
      <c r="K13" s="905">
        <f t="shared" si="16"/>
        <v>0</v>
      </c>
      <c r="L13" s="905">
        <f t="shared" si="16"/>
        <v>2987442</v>
      </c>
      <c r="M13" s="905">
        <f t="shared" si="15"/>
        <v>0</v>
      </c>
      <c r="N13" s="905">
        <f t="shared" si="15"/>
        <v>0</v>
      </c>
      <c r="O13" s="905">
        <f t="shared" si="15"/>
        <v>0</v>
      </c>
      <c r="P13" s="905">
        <f t="shared" si="15"/>
        <v>0</v>
      </c>
      <c r="Q13" s="906">
        <f t="shared" si="15"/>
        <v>0</v>
      </c>
    </row>
    <row r="14" spans="1:17" s="896" customFormat="1" ht="13.5" customHeight="1">
      <c r="A14" s="886"/>
      <c r="B14" s="887"/>
      <c r="C14" s="694" t="s">
        <v>2529</v>
      </c>
      <c r="D14" s="695"/>
      <c r="E14" s="881"/>
      <c r="F14" s="907">
        <f>SUM(G14:Q14)</f>
        <v>6895000</v>
      </c>
      <c r="G14" s="908">
        <f>+'変更諸経費表 (東梅田)'!G14</f>
        <v>3984000</v>
      </c>
      <c r="H14" s="908"/>
      <c r="I14" s="908"/>
      <c r="J14" s="908"/>
      <c r="K14" s="908"/>
      <c r="L14" s="908">
        <f>+工事2!I16</f>
        <v>2911000</v>
      </c>
      <c r="M14" s="908"/>
      <c r="N14" s="908"/>
      <c r="O14" s="908"/>
      <c r="P14" s="908"/>
      <c r="Q14" s="909"/>
    </row>
    <row r="15" spans="1:17" s="896" customFormat="1" ht="14">
      <c r="A15" s="886"/>
      <c r="B15" s="887"/>
      <c r="C15" s="701" t="s">
        <v>2530</v>
      </c>
      <c r="D15" s="701"/>
      <c r="E15" s="910"/>
      <c r="F15" s="911">
        <f>SUM(G15:Q15)</f>
        <v>186953</v>
      </c>
      <c r="G15" s="912">
        <f>G21+G22</f>
        <v>110511</v>
      </c>
      <c r="H15" s="912">
        <f t="shared" ref="H15:Q15" si="17">H21+H22</f>
        <v>0</v>
      </c>
      <c r="I15" s="912">
        <f t="shared" si="17"/>
        <v>0</v>
      </c>
      <c r="J15" s="912">
        <f t="shared" ref="J15:L15" si="18">J21+J22</f>
        <v>0</v>
      </c>
      <c r="K15" s="912">
        <f t="shared" si="18"/>
        <v>0</v>
      </c>
      <c r="L15" s="912">
        <f t="shared" si="18"/>
        <v>76442</v>
      </c>
      <c r="M15" s="912">
        <f t="shared" si="17"/>
        <v>0</v>
      </c>
      <c r="N15" s="912">
        <f t="shared" si="17"/>
        <v>0</v>
      </c>
      <c r="O15" s="912">
        <f t="shared" si="17"/>
        <v>0</v>
      </c>
      <c r="P15" s="912">
        <f t="shared" si="17"/>
        <v>0</v>
      </c>
      <c r="Q15" s="913">
        <f t="shared" si="17"/>
        <v>0</v>
      </c>
    </row>
    <row r="16" spans="1:17" s="896" customFormat="1" ht="13.5" customHeight="1">
      <c r="A16" s="886"/>
      <c r="B16" s="887"/>
      <c r="C16" s="914" t="s">
        <v>2531</v>
      </c>
      <c r="D16" s="701"/>
      <c r="E16" s="910"/>
      <c r="F16" s="911">
        <f>SUM(G16:Q16)</f>
        <v>0</v>
      </c>
      <c r="G16" s="912">
        <f>G390-G174</f>
        <v>0</v>
      </c>
      <c r="H16" s="912">
        <f t="shared" ref="H16:Q16" si="19">H390-H174</f>
        <v>0</v>
      </c>
      <c r="I16" s="912">
        <f t="shared" si="19"/>
        <v>0</v>
      </c>
      <c r="J16" s="912">
        <f t="shared" ref="J16:L16" si="20">J390-J174</f>
        <v>0</v>
      </c>
      <c r="K16" s="912">
        <f t="shared" si="20"/>
        <v>0</v>
      </c>
      <c r="L16" s="912">
        <f t="shared" si="20"/>
        <v>0</v>
      </c>
      <c r="M16" s="912">
        <f t="shared" si="19"/>
        <v>0</v>
      </c>
      <c r="N16" s="912">
        <f t="shared" si="19"/>
        <v>0</v>
      </c>
      <c r="O16" s="912">
        <f t="shared" si="19"/>
        <v>0</v>
      </c>
      <c r="P16" s="912">
        <f t="shared" si="19"/>
        <v>0</v>
      </c>
      <c r="Q16" s="913">
        <f t="shared" si="19"/>
        <v>0</v>
      </c>
    </row>
    <row r="17" spans="1:42" s="896" customFormat="1" ht="13.5" customHeight="1">
      <c r="A17" s="886"/>
      <c r="B17" s="887"/>
      <c r="C17" s="914" t="s">
        <v>2532</v>
      </c>
      <c r="D17" s="701"/>
      <c r="E17" s="910"/>
      <c r="F17" s="911">
        <f>SUM(G17:AP17)</f>
        <v>0</v>
      </c>
      <c r="G17" s="912">
        <f>IF(AND(G14=0,G8=G84,G12="無し"),G16,0)</f>
        <v>0</v>
      </c>
      <c r="H17" s="912">
        <f t="shared" ref="H17:Q17" si="21">IF(AND(H14=0,H8=H84,H12="無し"),H16,0)</f>
        <v>0</v>
      </c>
      <c r="I17" s="912">
        <f t="shared" si="21"/>
        <v>0</v>
      </c>
      <c r="J17" s="912">
        <f t="shared" ref="J17:L17" si="22">IF(AND(J14=0,J8=J84,J12="無し"),J16,0)</f>
        <v>0</v>
      </c>
      <c r="K17" s="912">
        <f t="shared" si="22"/>
        <v>0</v>
      </c>
      <c r="L17" s="912">
        <f t="shared" si="22"/>
        <v>0</v>
      </c>
      <c r="M17" s="912">
        <f t="shared" si="21"/>
        <v>0</v>
      </c>
      <c r="N17" s="912">
        <f t="shared" si="21"/>
        <v>0</v>
      </c>
      <c r="O17" s="912">
        <f t="shared" si="21"/>
        <v>0</v>
      </c>
      <c r="P17" s="912">
        <f t="shared" si="21"/>
        <v>0</v>
      </c>
      <c r="Q17" s="913">
        <f t="shared" si="21"/>
        <v>0</v>
      </c>
      <c r="R17" s="915"/>
      <c r="S17" s="915"/>
      <c r="T17" s="915"/>
      <c r="U17" s="915"/>
      <c r="V17" s="915"/>
      <c r="W17" s="915"/>
      <c r="X17" s="915"/>
      <c r="Y17" s="915"/>
      <c r="Z17" s="915"/>
      <c r="AA17" s="915"/>
      <c r="AB17" s="915"/>
      <c r="AC17" s="915"/>
      <c r="AD17" s="915"/>
      <c r="AE17" s="915"/>
      <c r="AF17" s="915"/>
      <c r="AG17" s="915"/>
      <c r="AH17" s="915"/>
      <c r="AI17" s="915"/>
      <c r="AJ17" s="915"/>
      <c r="AK17" s="915"/>
      <c r="AL17" s="915"/>
      <c r="AM17" s="915"/>
      <c r="AN17" s="915"/>
      <c r="AO17" s="915"/>
      <c r="AP17" s="915"/>
    </row>
    <row r="18" spans="1:42" s="896" customFormat="1" ht="13.5" customHeight="1">
      <c r="A18" s="886"/>
      <c r="B18" s="887"/>
      <c r="C18" s="914" t="s">
        <v>2533</v>
      </c>
      <c r="D18" s="701"/>
      <c r="E18" s="910"/>
      <c r="F18" s="911">
        <f>SUM(G18:AP18)</f>
        <v>0</v>
      </c>
      <c r="G18" s="912">
        <f>G14-G43</f>
        <v>0</v>
      </c>
      <c r="H18" s="912">
        <f t="shared" ref="H18:Q18" si="23">H14-H43</f>
        <v>0</v>
      </c>
      <c r="I18" s="912">
        <f t="shared" si="23"/>
        <v>0</v>
      </c>
      <c r="J18" s="912">
        <f t="shared" ref="J18:L18" si="24">J14-J43</f>
        <v>0</v>
      </c>
      <c r="K18" s="912">
        <f t="shared" si="24"/>
        <v>0</v>
      </c>
      <c r="L18" s="912">
        <f t="shared" si="24"/>
        <v>0</v>
      </c>
      <c r="M18" s="912">
        <f t="shared" si="23"/>
        <v>0</v>
      </c>
      <c r="N18" s="912">
        <f t="shared" si="23"/>
        <v>0</v>
      </c>
      <c r="O18" s="912">
        <f t="shared" si="23"/>
        <v>0</v>
      </c>
      <c r="P18" s="912">
        <f t="shared" si="23"/>
        <v>0</v>
      </c>
      <c r="Q18" s="913">
        <f t="shared" si="23"/>
        <v>0</v>
      </c>
      <c r="R18" s="915"/>
      <c r="S18" s="915"/>
      <c r="T18" s="915"/>
      <c r="U18" s="915"/>
      <c r="V18" s="915"/>
      <c r="W18" s="915"/>
      <c r="X18" s="915"/>
      <c r="Y18" s="915"/>
      <c r="Z18" s="915"/>
      <c r="AA18" s="915"/>
      <c r="AB18" s="915"/>
      <c r="AC18" s="915"/>
      <c r="AD18" s="915"/>
      <c r="AE18" s="915"/>
      <c r="AF18" s="915"/>
      <c r="AG18" s="915"/>
      <c r="AH18" s="915"/>
      <c r="AI18" s="915"/>
      <c r="AJ18" s="915"/>
      <c r="AK18" s="915"/>
      <c r="AL18" s="915"/>
      <c r="AM18" s="915"/>
      <c r="AN18" s="915"/>
      <c r="AO18" s="915"/>
      <c r="AP18" s="915"/>
    </row>
    <row r="19" spans="1:42" s="896" customFormat="1" ht="13.5" customHeight="1">
      <c r="A19" s="886"/>
      <c r="B19" s="887"/>
      <c r="C19" s="914" t="s">
        <v>2534</v>
      </c>
      <c r="D19" s="701"/>
      <c r="E19" s="910"/>
      <c r="F19" s="911">
        <f>SUM(G19:AP19)</f>
        <v>0</v>
      </c>
      <c r="G19" s="912">
        <f>IF($F$17=0,0,(IF(G17=0,INT(G18/$F18*$F17),0)))</f>
        <v>0</v>
      </c>
      <c r="H19" s="912">
        <f t="shared" ref="H19:Q19" si="25">IF($F$17=0,0,(IF(H17=0,INT(H18/$F18*$F17),0)))</f>
        <v>0</v>
      </c>
      <c r="I19" s="912">
        <f t="shared" si="25"/>
        <v>0</v>
      </c>
      <c r="J19" s="912">
        <f t="shared" ref="J19:L19" si="26">IF($F$17=0,0,(IF(J17=0,INT(J18/$F18*$F17),0)))</f>
        <v>0</v>
      </c>
      <c r="K19" s="912">
        <f t="shared" si="26"/>
        <v>0</v>
      </c>
      <c r="L19" s="912">
        <f t="shared" si="26"/>
        <v>0</v>
      </c>
      <c r="M19" s="912">
        <f t="shared" si="25"/>
        <v>0</v>
      </c>
      <c r="N19" s="912">
        <f t="shared" si="25"/>
        <v>0</v>
      </c>
      <c r="O19" s="912">
        <f t="shared" si="25"/>
        <v>0</v>
      </c>
      <c r="P19" s="912">
        <f t="shared" si="25"/>
        <v>0</v>
      </c>
      <c r="Q19" s="913">
        <f t="shared" si="25"/>
        <v>0</v>
      </c>
      <c r="R19" s="915"/>
      <c r="S19" s="915"/>
      <c r="T19" s="915"/>
      <c r="U19" s="915"/>
      <c r="V19" s="915"/>
      <c r="W19" s="915"/>
      <c r="X19" s="915"/>
      <c r="Y19" s="915"/>
      <c r="Z19" s="915"/>
      <c r="AA19" s="915"/>
      <c r="AB19" s="915"/>
      <c r="AC19" s="915"/>
      <c r="AD19" s="915"/>
      <c r="AE19" s="915"/>
      <c r="AF19" s="915"/>
      <c r="AG19" s="915"/>
      <c r="AH19" s="915"/>
      <c r="AI19" s="915"/>
      <c r="AJ19" s="915"/>
      <c r="AK19" s="915"/>
      <c r="AL19" s="915"/>
      <c r="AM19" s="915"/>
      <c r="AN19" s="915"/>
      <c r="AO19" s="915"/>
      <c r="AP19" s="915"/>
    </row>
    <row r="20" spans="1:42" s="896" customFormat="1" ht="13.5" customHeight="1">
      <c r="A20" s="886"/>
      <c r="B20" s="887"/>
      <c r="C20" s="916" t="s">
        <v>2535</v>
      </c>
      <c r="D20" s="701"/>
      <c r="E20" s="910"/>
      <c r="F20" s="911">
        <f>F17-F19</f>
        <v>0</v>
      </c>
      <c r="G20" s="917">
        <f>IF($F20=0,0,IF(G19=0,0,$F20))</f>
        <v>0</v>
      </c>
      <c r="H20" s="917">
        <f t="shared" ref="H20:Q20" si="27">IF($F20=0,0,IF(H19=0,0,$F20))</f>
        <v>0</v>
      </c>
      <c r="I20" s="917">
        <f t="shared" si="27"/>
        <v>0</v>
      </c>
      <c r="J20" s="917">
        <f t="shared" ref="J20:L20" si="28">IF($F20=0,0,IF(J19=0,0,$F20))</f>
        <v>0</v>
      </c>
      <c r="K20" s="917">
        <f t="shared" si="28"/>
        <v>0</v>
      </c>
      <c r="L20" s="917">
        <f t="shared" si="28"/>
        <v>0</v>
      </c>
      <c r="M20" s="917">
        <f t="shared" si="27"/>
        <v>0</v>
      </c>
      <c r="N20" s="917">
        <f t="shared" si="27"/>
        <v>0</v>
      </c>
      <c r="O20" s="917">
        <f t="shared" si="27"/>
        <v>0</v>
      </c>
      <c r="P20" s="917">
        <f t="shared" si="27"/>
        <v>0</v>
      </c>
      <c r="Q20" s="918">
        <f t="shared" si="27"/>
        <v>0</v>
      </c>
      <c r="R20" s="919"/>
      <c r="S20" s="919"/>
      <c r="T20" s="919"/>
      <c r="U20" s="919"/>
      <c r="V20" s="919"/>
      <c r="W20" s="919"/>
      <c r="X20" s="919"/>
      <c r="Y20" s="919"/>
      <c r="Z20" s="919"/>
      <c r="AA20" s="919"/>
      <c r="AB20" s="919"/>
      <c r="AC20" s="919"/>
      <c r="AD20" s="919"/>
      <c r="AE20" s="919"/>
      <c r="AF20" s="919"/>
      <c r="AG20" s="919"/>
      <c r="AH20" s="919"/>
      <c r="AI20" s="919"/>
      <c r="AJ20" s="919"/>
      <c r="AK20" s="919"/>
      <c r="AL20" s="919"/>
      <c r="AM20" s="919"/>
      <c r="AN20" s="919"/>
      <c r="AO20" s="919"/>
      <c r="AP20" s="919"/>
    </row>
    <row r="21" spans="1:42" s="896" customFormat="1" ht="13.5" customHeight="1">
      <c r="A21" s="886"/>
      <c r="B21" s="887"/>
      <c r="C21" s="914" t="s">
        <v>2536</v>
      </c>
      <c r="D21" s="701"/>
      <c r="E21" s="910"/>
      <c r="F21" s="911">
        <f>SUM(G21:AP21)</f>
        <v>186953</v>
      </c>
      <c r="G21" s="917">
        <f>+'変更諸経費表 (東梅田)'!G21</f>
        <v>110511</v>
      </c>
      <c r="H21" s="917">
        <f t="shared" ref="H21:Q21" si="29">IF(H43="",IF(H14=0,IF(H8=H84,0,H16+H19+H20),H16+H19+H20),0)</f>
        <v>0</v>
      </c>
      <c r="I21" s="917">
        <f t="shared" si="29"/>
        <v>0</v>
      </c>
      <c r="J21" s="917">
        <f t="shared" ref="J21:K21" si="30">IF(J43="",IF(J14=0,IF(J8=J84,0,J16+J19+J20),J16+J19+J20),0)</f>
        <v>0</v>
      </c>
      <c r="K21" s="917">
        <f t="shared" si="30"/>
        <v>0</v>
      </c>
      <c r="L21" s="917">
        <f>+'変更諸経費表 (堺筋本町)'!G21</f>
        <v>76442</v>
      </c>
      <c r="M21" s="917">
        <f t="shared" si="29"/>
        <v>0</v>
      </c>
      <c r="N21" s="917">
        <f t="shared" si="29"/>
        <v>0</v>
      </c>
      <c r="O21" s="917">
        <f t="shared" si="29"/>
        <v>0</v>
      </c>
      <c r="P21" s="917">
        <f t="shared" si="29"/>
        <v>0</v>
      </c>
      <c r="Q21" s="918">
        <f t="shared" si="29"/>
        <v>0</v>
      </c>
      <c r="R21" s="919"/>
      <c r="S21" s="919"/>
      <c r="T21" s="919"/>
      <c r="U21" s="919"/>
      <c r="V21" s="919"/>
      <c r="W21" s="919"/>
      <c r="X21" s="919"/>
      <c r="Y21" s="919"/>
      <c r="Z21" s="919"/>
      <c r="AA21" s="919"/>
      <c r="AB21" s="919"/>
      <c r="AC21" s="919"/>
      <c r="AD21" s="919"/>
      <c r="AE21" s="919"/>
      <c r="AF21" s="919"/>
      <c r="AG21" s="919"/>
      <c r="AH21" s="919"/>
      <c r="AI21" s="919"/>
      <c r="AJ21" s="919"/>
      <c r="AK21" s="919"/>
      <c r="AL21" s="919"/>
      <c r="AM21" s="919"/>
      <c r="AN21" s="919"/>
      <c r="AO21" s="919"/>
      <c r="AP21" s="919"/>
    </row>
    <row r="22" spans="1:42" s="896" customFormat="1" ht="14">
      <c r="A22" s="886"/>
      <c r="B22" s="887"/>
      <c r="C22" s="914" t="s">
        <v>2537</v>
      </c>
      <c r="D22" s="701"/>
      <c r="E22" s="910"/>
      <c r="F22" s="911">
        <f>SUM(G22:Q22)</f>
        <v>0</v>
      </c>
      <c r="G22" s="920">
        <f>+'変更諸経費表 (東梅田)'!G22</f>
        <v>0</v>
      </c>
      <c r="H22" s="920"/>
      <c r="I22" s="920"/>
      <c r="J22" s="920"/>
      <c r="K22" s="920"/>
      <c r="L22" s="920">
        <f>+'変更諸経費表 (堺筋本町)'!G22</f>
        <v>0</v>
      </c>
      <c r="M22" s="920"/>
      <c r="N22" s="920"/>
      <c r="O22" s="920"/>
      <c r="P22" s="920"/>
      <c r="Q22" s="921"/>
    </row>
    <row r="23" spans="1:42" s="896" customFormat="1" ht="13.5" customHeight="1">
      <c r="A23" s="886"/>
      <c r="B23" s="887"/>
      <c r="C23" s="922" t="s">
        <v>2538</v>
      </c>
      <c r="D23" s="701"/>
      <c r="E23" s="910"/>
      <c r="F23" s="911">
        <f>SUM(G23:Q23)</f>
        <v>0</v>
      </c>
      <c r="G23" s="920"/>
      <c r="H23" s="920"/>
      <c r="I23" s="920"/>
      <c r="J23" s="920"/>
      <c r="K23" s="920"/>
      <c r="L23" s="920"/>
      <c r="M23" s="920"/>
      <c r="N23" s="920"/>
      <c r="O23" s="920"/>
      <c r="P23" s="920"/>
      <c r="Q23" s="921"/>
    </row>
    <row r="24" spans="1:42" s="896" customFormat="1" ht="14">
      <c r="A24" s="886"/>
      <c r="B24" s="887"/>
      <c r="C24" s="923" t="s">
        <v>2539</v>
      </c>
      <c r="D24" s="924"/>
      <c r="E24" s="925"/>
      <c r="F24" s="926">
        <f>SUM(G24:Q24)</f>
        <v>0</v>
      </c>
      <c r="G24" s="927"/>
      <c r="H24" s="927"/>
      <c r="I24" s="927"/>
      <c r="J24" s="927"/>
      <c r="K24" s="927"/>
      <c r="L24" s="927"/>
      <c r="M24" s="927"/>
      <c r="N24" s="927"/>
      <c r="O24" s="927"/>
      <c r="P24" s="927"/>
      <c r="Q24" s="928"/>
    </row>
    <row r="25" spans="1:42" s="896" customFormat="1" ht="13.5" customHeight="1">
      <c r="A25" s="929" t="s">
        <v>2540</v>
      </c>
      <c r="B25" s="930"/>
      <c r="C25" s="931"/>
      <c r="D25" s="931"/>
      <c r="E25" s="932"/>
      <c r="F25" s="933"/>
      <c r="G25" s="934"/>
      <c r="H25" s="934"/>
      <c r="I25" s="934"/>
      <c r="J25" s="934"/>
      <c r="K25" s="934"/>
      <c r="L25" s="934"/>
      <c r="M25" s="934"/>
      <c r="N25" s="934"/>
      <c r="O25" s="934"/>
      <c r="P25" s="934"/>
      <c r="Q25" s="935"/>
    </row>
    <row r="26" spans="1:42" s="896" customFormat="1" ht="14">
      <c r="A26" s="2602"/>
      <c r="B26" s="2604" t="s">
        <v>2541</v>
      </c>
      <c r="C26" s="695" t="s">
        <v>2542</v>
      </c>
      <c r="D26" s="695"/>
      <c r="E26" s="882"/>
      <c r="F26" s="907">
        <f t="shared" ref="F26:F32" si="31">SUM(G26:Q26)</f>
        <v>0</v>
      </c>
      <c r="G26" s="908"/>
      <c r="H26" s="908"/>
      <c r="I26" s="908">
        <f t="shared" ref="I26:Q26" si="32">IF(I9="新営",I14-SUM(I28:I39)-I43-I42,0)</f>
        <v>0</v>
      </c>
      <c r="J26" s="908">
        <f t="shared" ref="J26:L26" si="33">IF(J9="新営",J14-SUM(J28:J39)-J43-J42,0)</f>
        <v>0</v>
      </c>
      <c r="K26" s="908">
        <f t="shared" si="33"/>
        <v>0</v>
      </c>
      <c r="L26" s="908">
        <f t="shared" si="33"/>
        <v>0</v>
      </c>
      <c r="M26" s="908">
        <f t="shared" si="32"/>
        <v>0</v>
      </c>
      <c r="N26" s="908">
        <f t="shared" si="32"/>
        <v>0</v>
      </c>
      <c r="O26" s="908">
        <f t="shared" si="32"/>
        <v>0</v>
      </c>
      <c r="P26" s="908">
        <f t="shared" si="32"/>
        <v>0</v>
      </c>
      <c r="Q26" s="909">
        <f t="shared" si="32"/>
        <v>0</v>
      </c>
    </row>
    <row r="27" spans="1:42" s="896" customFormat="1" ht="14">
      <c r="A27" s="2602"/>
      <c r="B27" s="2605"/>
      <c r="C27" s="702" t="s">
        <v>2543</v>
      </c>
      <c r="D27" s="702"/>
      <c r="E27" s="910"/>
      <c r="F27" s="911">
        <f t="shared" si="31"/>
        <v>0</v>
      </c>
      <c r="G27" s="912">
        <f>IF(G9="改修",G14-SUM(G28:G39)-G43-G42,0)</f>
        <v>0</v>
      </c>
      <c r="H27" s="912">
        <f t="shared" ref="H27:Q27" si="34">IF(H9="改修",H14-SUM(H28:H39)-H43-H42,0)</f>
        <v>0</v>
      </c>
      <c r="I27" s="912">
        <f t="shared" si="34"/>
        <v>0</v>
      </c>
      <c r="J27" s="912">
        <f t="shared" ref="J27:L27" si="35">IF(J9="改修",J14-SUM(J28:J39)-J43-J42,0)</f>
        <v>0</v>
      </c>
      <c r="K27" s="912">
        <f t="shared" si="35"/>
        <v>0</v>
      </c>
      <c r="L27" s="912">
        <f t="shared" si="35"/>
        <v>0</v>
      </c>
      <c r="M27" s="912">
        <f t="shared" si="34"/>
        <v>0</v>
      </c>
      <c r="N27" s="912">
        <f t="shared" si="34"/>
        <v>0</v>
      </c>
      <c r="O27" s="912">
        <f t="shared" si="34"/>
        <v>0</v>
      </c>
      <c r="P27" s="912">
        <f t="shared" si="34"/>
        <v>0</v>
      </c>
      <c r="Q27" s="913">
        <f t="shared" si="34"/>
        <v>0</v>
      </c>
    </row>
    <row r="28" spans="1:42" s="896" customFormat="1" ht="14">
      <c r="A28" s="2602"/>
      <c r="B28" s="2605"/>
      <c r="C28" s="936" t="s">
        <v>2544</v>
      </c>
      <c r="D28" s="702"/>
      <c r="E28" s="910"/>
      <c r="F28" s="911">
        <f t="shared" si="31"/>
        <v>0</v>
      </c>
      <c r="G28" s="920"/>
      <c r="H28" s="920"/>
      <c r="I28" s="920"/>
      <c r="J28" s="920"/>
      <c r="K28" s="920"/>
      <c r="L28" s="920"/>
      <c r="M28" s="920"/>
      <c r="N28" s="920"/>
      <c r="O28" s="920"/>
      <c r="P28" s="920"/>
      <c r="Q28" s="921"/>
    </row>
    <row r="29" spans="1:42" s="896" customFormat="1" ht="14">
      <c r="A29" s="2602"/>
      <c r="B29" s="2606"/>
      <c r="C29" s="936" t="s">
        <v>2545</v>
      </c>
      <c r="D29" s="702"/>
      <c r="E29" s="910"/>
      <c r="F29" s="911">
        <f t="shared" si="31"/>
        <v>0</v>
      </c>
      <c r="G29" s="920"/>
      <c r="H29" s="920"/>
      <c r="I29" s="920"/>
      <c r="J29" s="920"/>
      <c r="K29" s="920"/>
      <c r="L29" s="920"/>
      <c r="M29" s="920"/>
      <c r="N29" s="920"/>
      <c r="O29" s="920"/>
      <c r="P29" s="920"/>
      <c r="Q29" s="921"/>
    </row>
    <row r="30" spans="1:42" s="896" customFormat="1" ht="13.5" customHeight="1">
      <c r="A30" s="2602"/>
      <c r="B30" s="2607" t="s">
        <v>2546</v>
      </c>
      <c r="C30" s="701" t="s">
        <v>2547</v>
      </c>
      <c r="D30" s="702"/>
      <c r="E30" s="910"/>
      <c r="F30" s="911">
        <f t="shared" si="31"/>
        <v>0</v>
      </c>
      <c r="G30" s="920"/>
      <c r="H30" s="920"/>
      <c r="I30" s="920"/>
      <c r="J30" s="920"/>
      <c r="K30" s="920"/>
      <c r="L30" s="920"/>
      <c r="M30" s="920"/>
      <c r="N30" s="920"/>
      <c r="O30" s="920"/>
      <c r="P30" s="920"/>
      <c r="Q30" s="921"/>
    </row>
    <row r="31" spans="1:42" s="896" customFormat="1" ht="14">
      <c r="A31" s="2602"/>
      <c r="B31" s="2605"/>
      <c r="C31" s="701" t="s">
        <v>2548</v>
      </c>
      <c r="D31" s="702"/>
      <c r="E31" s="910"/>
      <c r="F31" s="911">
        <f t="shared" si="31"/>
        <v>0</v>
      </c>
      <c r="G31" s="920"/>
      <c r="H31" s="920"/>
      <c r="I31" s="920"/>
      <c r="J31" s="920"/>
      <c r="K31" s="920"/>
      <c r="L31" s="920"/>
      <c r="M31" s="920"/>
      <c r="N31" s="920"/>
      <c r="O31" s="920"/>
      <c r="P31" s="920"/>
      <c r="Q31" s="921"/>
    </row>
    <row r="32" spans="1:42" s="896" customFormat="1" ht="14">
      <c r="A32" s="2602"/>
      <c r="B32" s="2605"/>
      <c r="C32" s="702" t="s">
        <v>2549</v>
      </c>
      <c r="D32" s="702"/>
      <c r="E32" s="910"/>
      <c r="F32" s="911">
        <f t="shared" si="31"/>
        <v>0</v>
      </c>
      <c r="G32" s="920"/>
      <c r="H32" s="920"/>
      <c r="I32" s="920"/>
      <c r="J32" s="920"/>
      <c r="K32" s="920"/>
      <c r="L32" s="920"/>
      <c r="M32" s="920"/>
      <c r="N32" s="920"/>
      <c r="O32" s="920"/>
      <c r="P32" s="920"/>
      <c r="Q32" s="921"/>
    </row>
    <row r="33" spans="1:17" s="896" customFormat="1" ht="13.5" customHeight="1">
      <c r="A33" s="2602"/>
      <c r="B33" s="2605"/>
      <c r="C33" s="702" t="s">
        <v>2550</v>
      </c>
      <c r="D33" s="702"/>
      <c r="E33" s="910"/>
      <c r="F33" s="911"/>
      <c r="G33" s="912"/>
      <c r="H33" s="912"/>
      <c r="I33" s="912"/>
      <c r="J33" s="912"/>
      <c r="K33" s="912"/>
      <c r="L33" s="912"/>
      <c r="M33" s="912"/>
      <c r="N33" s="912"/>
      <c r="O33" s="912"/>
      <c r="P33" s="912"/>
      <c r="Q33" s="913"/>
    </row>
    <row r="34" spans="1:17" s="896" customFormat="1" ht="14">
      <c r="A34" s="2602"/>
      <c r="B34" s="2605"/>
      <c r="C34" s="702" t="s">
        <v>2551</v>
      </c>
      <c r="D34" s="702"/>
      <c r="E34" s="910"/>
      <c r="F34" s="911"/>
      <c r="G34" s="912"/>
      <c r="H34" s="912"/>
      <c r="I34" s="912"/>
      <c r="J34" s="912"/>
      <c r="K34" s="912"/>
      <c r="L34" s="912"/>
      <c r="M34" s="912"/>
      <c r="N34" s="912"/>
      <c r="O34" s="912"/>
      <c r="P34" s="912"/>
      <c r="Q34" s="913"/>
    </row>
    <row r="35" spans="1:17" s="896" customFormat="1" ht="14">
      <c r="A35" s="2602"/>
      <c r="B35" s="2605"/>
      <c r="C35" s="702" t="s">
        <v>2552</v>
      </c>
      <c r="D35" s="702"/>
      <c r="E35" s="910"/>
      <c r="F35" s="911">
        <f t="shared" ref="F35:F45" si="36">SUM(G35:Q35)</f>
        <v>0</v>
      </c>
      <c r="G35" s="920"/>
      <c r="H35" s="920"/>
      <c r="I35" s="920"/>
      <c r="J35" s="920"/>
      <c r="K35" s="920"/>
      <c r="L35" s="920"/>
      <c r="M35" s="920"/>
      <c r="N35" s="920"/>
      <c r="O35" s="920"/>
      <c r="P35" s="920"/>
      <c r="Q35" s="921"/>
    </row>
    <row r="36" spans="1:17" s="896" customFormat="1" ht="14">
      <c r="A36" s="2602"/>
      <c r="B36" s="2605"/>
      <c r="C36" s="937" t="s">
        <v>2553</v>
      </c>
      <c r="D36" s="702"/>
      <c r="E36" s="910"/>
      <c r="F36" s="911">
        <f t="shared" si="36"/>
        <v>0</v>
      </c>
      <c r="G36" s="920"/>
      <c r="H36" s="920"/>
      <c r="I36" s="920"/>
      <c r="J36" s="920"/>
      <c r="K36" s="920"/>
      <c r="L36" s="920"/>
      <c r="M36" s="920"/>
      <c r="N36" s="920"/>
      <c r="O36" s="920"/>
      <c r="P36" s="920"/>
      <c r="Q36" s="921"/>
    </row>
    <row r="37" spans="1:17" s="896" customFormat="1" ht="14">
      <c r="A37" s="2602"/>
      <c r="B37" s="2605"/>
      <c r="C37" s="938" t="s">
        <v>2554</v>
      </c>
      <c r="D37" s="702"/>
      <c r="E37" s="910"/>
      <c r="F37" s="911">
        <f t="shared" si="36"/>
        <v>0</v>
      </c>
      <c r="G37" s="920"/>
      <c r="H37" s="920"/>
      <c r="I37" s="920"/>
      <c r="J37" s="920"/>
      <c r="K37" s="920"/>
      <c r="L37" s="920"/>
      <c r="M37" s="920"/>
      <c r="N37" s="920"/>
      <c r="O37" s="920"/>
      <c r="P37" s="920"/>
      <c r="Q37" s="921"/>
    </row>
    <row r="38" spans="1:17" s="896" customFormat="1" ht="14">
      <c r="A38" s="2602"/>
      <c r="B38" s="2606"/>
      <c r="C38" s="702" t="s">
        <v>2555</v>
      </c>
      <c r="D38" s="702"/>
      <c r="E38" s="910"/>
      <c r="F38" s="911">
        <f t="shared" si="36"/>
        <v>0</v>
      </c>
      <c r="G38" s="920"/>
      <c r="H38" s="920"/>
      <c r="I38" s="920"/>
      <c r="J38" s="920"/>
      <c r="K38" s="920"/>
      <c r="L38" s="920"/>
      <c r="M38" s="920"/>
      <c r="N38" s="920"/>
      <c r="O38" s="920"/>
      <c r="P38" s="920"/>
      <c r="Q38" s="921"/>
    </row>
    <row r="39" spans="1:17" s="896" customFormat="1" ht="14">
      <c r="A39" s="2602"/>
      <c r="B39" s="2607" t="s">
        <v>2556</v>
      </c>
      <c r="C39" s="936" t="s">
        <v>2557</v>
      </c>
      <c r="D39" s="702"/>
      <c r="E39" s="910"/>
      <c r="F39" s="911">
        <f t="shared" si="36"/>
        <v>0</v>
      </c>
      <c r="G39" s="920"/>
      <c r="H39" s="920"/>
      <c r="I39" s="920"/>
      <c r="J39" s="920"/>
      <c r="K39" s="920"/>
      <c r="L39" s="920"/>
      <c r="M39" s="920"/>
      <c r="N39" s="920"/>
      <c r="O39" s="920"/>
      <c r="P39" s="920"/>
      <c r="Q39" s="921"/>
    </row>
    <row r="40" spans="1:17" s="896" customFormat="1" ht="14">
      <c r="A40" s="2602"/>
      <c r="B40" s="2605"/>
      <c r="C40" s="936" t="s">
        <v>2558</v>
      </c>
      <c r="D40" s="702"/>
      <c r="E40" s="910"/>
      <c r="F40" s="911">
        <f t="shared" si="36"/>
        <v>0</v>
      </c>
      <c r="G40" s="912">
        <f t="shared" ref="G40:Q40" si="37">+G24</f>
        <v>0</v>
      </c>
      <c r="H40" s="912">
        <f t="shared" si="37"/>
        <v>0</v>
      </c>
      <c r="I40" s="912">
        <f t="shared" si="37"/>
        <v>0</v>
      </c>
      <c r="J40" s="912">
        <f t="shared" ref="J40:L40" si="38">+J24</f>
        <v>0</v>
      </c>
      <c r="K40" s="912">
        <f t="shared" si="38"/>
        <v>0</v>
      </c>
      <c r="L40" s="912">
        <f t="shared" si="38"/>
        <v>0</v>
      </c>
      <c r="M40" s="912">
        <f t="shared" si="37"/>
        <v>0</v>
      </c>
      <c r="N40" s="912">
        <f t="shared" si="37"/>
        <v>0</v>
      </c>
      <c r="O40" s="912">
        <f t="shared" si="37"/>
        <v>0</v>
      </c>
      <c r="P40" s="912">
        <f t="shared" si="37"/>
        <v>0</v>
      </c>
      <c r="Q40" s="913">
        <f t="shared" si="37"/>
        <v>0</v>
      </c>
    </row>
    <row r="41" spans="1:17" s="896" customFormat="1" ht="14">
      <c r="A41" s="2602"/>
      <c r="B41" s="2605"/>
      <c r="C41" s="702" t="s">
        <v>2559</v>
      </c>
      <c r="D41" s="702"/>
      <c r="E41" s="910"/>
      <c r="F41" s="911">
        <f t="shared" si="36"/>
        <v>0</v>
      </c>
      <c r="G41" s="912">
        <f t="shared" ref="G41:Q41" si="39">+G23</f>
        <v>0</v>
      </c>
      <c r="H41" s="912">
        <f t="shared" si="39"/>
        <v>0</v>
      </c>
      <c r="I41" s="912">
        <f t="shared" si="39"/>
        <v>0</v>
      </c>
      <c r="J41" s="912">
        <f t="shared" ref="J41:L41" si="40">+J23</f>
        <v>0</v>
      </c>
      <c r="K41" s="912">
        <f t="shared" si="40"/>
        <v>0</v>
      </c>
      <c r="L41" s="912">
        <f t="shared" si="40"/>
        <v>0</v>
      </c>
      <c r="M41" s="912">
        <f t="shared" si="39"/>
        <v>0</v>
      </c>
      <c r="N41" s="912">
        <f t="shared" si="39"/>
        <v>0</v>
      </c>
      <c r="O41" s="912">
        <f t="shared" si="39"/>
        <v>0</v>
      </c>
      <c r="P41" s="912">
        <f t="shared" si="39"/>
        <v>0</v>
      </c>
      <c r="Q41" s="913">
        <f t="shared" si="39"/>
        <v>0</v>
      </c>
    </row>
    <row r="42" spans="1:17" s="896" customFormat="1" ht="14">
      <c r="A42" s="2602"/>
      <c r="B42" s="2605"/>
      <c r="C42" s="702" t="s">
        <v>2560</v>
      </c>
      <c r="D42" s="702"/>
      <c r="E42" s="910"/>
      <c r="F42" s="911">
        <f t="shared" si="36"/>
        <v>0</v>
      </c>
      <c r="G42" s="920"/>
      <c r="H42" s="920"/>
      <c r="I42" s="920"/>
      <c r="J42" s="920"/>
      <c r="K42" s="920"/>
      <c r="L42" s="920"/>
      <c r="M42" s="920"/>
      <c r="N42" s="920"/>
      <c r="O42" s="920"/>
      <c r="P42" s="920"/>
      <c r="Q42" s="921"/>
    </row>
    <row r="43" spans="1:17" s="896" customFormat="1" ht="13.5" customHeight="1">
      <c r="A43" s="2602"/>
      <c r="B43" s="2605"/>
      <c r="C43" s="939" t="s">
        <v>2561</v>
      </c>
      <c r="D43" s="940"/>
      <c r="E43" s="941"/>
      <c r="F43" s="911">
        <f t="shared" si="36"/>
        <v>6895000</v>
      </c>
      <c r="G43" s="942">
        <f>+G14</f>
        <v>3984000</v>
      </c>
      <c r="H43" s="942"/>
      <c r="I43" s="942"/>
      <c r="J43" s="942"/>
      <c r="K43" s="942"/>
      <c r="L43" s="942">
        <f>+L14</f>
        <v>2911000</v>
      </c>
      <c r="M43" s="942"/>
      <c r="N43" s="942"/>
      <c r="O43" s="942"/>
      <c r="P43" s="942"/>
      <c r="Q43" s="943"/>
    </row>
    <row r="44" spans="1:17" s="896" customFormat="1" ht="14">
      <c r="A44" s="2602"/>
      <c r="B44" s="2605"/>
      <c r="C44" s="939" t="s">
        <v>2562</v>
      </c>
      <c r="D44" s="940"/>
      <c r="E44" s="941"/>
      <c r="F44" s="911">
        <f t="shared" si="36"/>
        <v>0</v>
      </c>
      <c r="G44" s="942">
        <f>+G22</f>
        <v>0</v>
      </c>
      <c r="H44" s="942"/>
      <c r="I44" s="942"/>
      <c r="J44" s="942"/>
      <c r="K44" s="942"/>
      <c r="L44" s="942">
        <f>+L22</f>
        <v>0</v>
      </c>
      <c r="M44" s="942"/>
      <c r="N44" s="942"/>
      <c r="O44" s="942"/>
      <c r="P44" s="942"/>
      <c r="Q44" s="943"/>
    </row>
    <row r="45" spans="1:17" s="896" customFormat="1" ht="14">
      <c r="A45" s="2603"/>
      <c r="B45" s="2608"/>
      <c r="C45" s="944" t="s">
        <v>2563</v>
      </c>
      <c r="D45" s="944"/>
      <c r="E45" s="945"/>
      <c r="F45" s="946">
        <f t="shared" si="36"/>
        <v>0</v>
      </c>
      <c r="G45" s="947"/>
      <c r="H45" s="947"/>
      <c r="I45" s="947"/>
      <c r="J45" s="947"/>
      <c r="K45" s="947"/>
      <c r="L45" s="947"/>
      <c r="M45" s="947"/>
      <c r="N45" s="947"/>
      <c r="O45" s="947"/>
      <c r="P45" s="947"/>
      <c r="Q45" s="948"/>
    </row>
    <row r="46" spans="1:17" s="846" customFormat="1" ht="13.5" customHeight="1">
      <c r="A46" s="2586" t="s">
        <v>2564</v>
      </c>
      <c r="B46" s="2587"/>
      <c r="C46" s="2588"/>
      <c r="D46" s="949"/>
      <c r="E46" s="950"/>
      <c r="F46" s="951"/>
      <c r="G46" s="952"/>
      <c r="H46" s="952"/>
      <c r="I46" s="952"/>
      <c r="J46" s="952"/>
      <c r="K46" s="952"/>
      <c r="L46" s="952"/>
      <c r="M46" s="952"/>
      <c r="N46" s="952"/>
      <c r="O46" s="952"/>
      <c r="P46" s="952"/>
      <c r="Q46" s="953"/>
    </row>
    <row r="47" spans="1:17" s="959" customFormat="1" ht="14">
      <c r="A47" s="2589"/>
      <c r="B47" s="2590" t="s">
        <v>2541</v>
      </c>
      <c r="C47" s="954" t="s">
        <v>2542</v>
      </c>
      <c r="D47" s="955"/>
      <c r="E47" s="956"/>
      <c r="F47" s="957">
        <f>+F414-F198</f>
        <v>0</v>
      </c>
      <c r="G47" s="957">
        <f t="shared" ref="G47:Q47" si="41">+G414-G198</f>
        <v>0</v>
      </c>
      <c r="H47" s="957">
        <f t="shared" si="41"/>
        <v>0</v>
      </c>
      <c r="I47" s="957">
        <f t="shared" si="41"/>
        <v>0</v>
      </c>
      <c r="J47" s="957">
        <f t="shared" ref="J47:L47" si="42">+J414-J198</f>
        <v>0</v>
      </c>
      <c r="K47" s="957">
        <f t="shared" si="42"/>
        <v>0</v>
      </c>
      <c r="L47" s="957">
        <f t="shared" si="42"/>
        <v>0</v>
      </c>
      <c r="M47" s="957">
        <f t="shared" si="41"/>
        <v>0</v>
      </c>
      <c r="N47" s="957">
        <f t="shared" si="41"/>
        <v>0</v>
      </c>
      <c r="O47" s="957">
        <f t="shared" si="41"/>
        <v>0</v>
      </c>
      <c r="P47" s="957">
        <f t="shared" si="41"/>
        <v>0</v>
      </c>
      <c r="Q47" s="958">
        <f t="shared" si="41"/>
        <v>0</v>
      </c>
    </row>
    <row r="48" spans="1:17" s="959" customFormat="1" ht="14">
      <c r="A48" s="2589"/>
      <c r="B48" s="2591"/>
      <c r="C48" s="960" t="s">
        <v>2543</v>
      </c>
      <c r="D48" s="955"/>
      <c r="E48" s="956"/>
      <c r="F48" s="957">
        <f t="shared" ref="F48:Q53" si="43">F416-F200</f>
        <v>0</v>
      </c>
      <c r="G48" s="957">
        <f t="shared" si="43"/>
        <v>0</v>
      </c>
      <c r="H48" s="957">
        <f t="shared" si="43"/>
        <v>0</v>
      </c>
      <c r="I48" s="957">
        <f t="shared" si="43"/>
        <v>0</v>
      </c>
      <c r="J48" s="957">
        <f t="shared" ref="J48:L48" si="44">J416-J200</f>
        <v>0</v>
      </c>
      <c r="K48" s="957">
        <f t="shared" si="44"/>
        <v>0</v>
      </c>
      <c r="L48" s="957">
        <f t="shared" si="44"/>
        <v>0</v>
      </c>
      <c r="M48" s="957">
        <f t="shared" si="43"/>
        <v>0</v>
      </c>
      <c r="N48" s="957">
        <f t="shared" si="43"/>
        <v>0</v>
      </c>
      <c r="O48" s="957">
        <f t="shared" si="43"/>
        <v>0</v>
      </c>
      <c r="P48" s="957">
        <f t="shared" si="43"/>
        <v>0</v>
      </c>
      <c r="Q48" s="958">
        <f t="shared" si="43"/>
        <v>0</v>
      </c>
    </row>
    <row r="49" spans="1:17" s="959" customFormat="1" ht="14">
      <c r="A49" s="2589"/>
      <c r="B49" s="2591"/>
      <c r="C49" s="960" t="s">
        <v>2565</v>
      </c>
      <c r="D49" s="955"/>
      <c r="E49" s="961"/>
      <c r="F49" s="957">
        <f t="shared" si="43"/>
        <v>0</v>
      </c>
      <c r="G49" s="957">
        <f t="shared" si="43"/>
        <v>0</v>
      </c>
      <c r="H49" s="957">
        <f t="shared" si="43"/>
        <v>0</v>
      </c>
      <c r="I49" s="957">
        <f t="shared" si="43"/>
        <v>0</v>
      </c>
      <c r="J49" s="957">
        <f t="shared" ref="J49:L49" si="45">J417-J201</f>
        <v>0</v>
      </c>
      <c r="K49" s="957">
        <f t="shared" si="45"/>
        <v>0</v>
      </c>
      <c r="L49" s="957">
        <f t="shared" si="45"/>
        <v>0</v>
      </c>
      <c r="M49" s="957">
        <f t="shared" si="43"/>
        <v>0</v>
      </c>
      <c r="N49" s="957">
        <f t="shared" si="43"/>
        <v>0</v>
      </c>
      <c r="O49" s="957">
        <f t="shared" si="43"/>
        <v>0</v>
      </c>
      <c r="P49" s="957">
        <f t="shared" si="43"/>
        <v>0</v>
      </c>
      <c r="Q49" s="958">
        <f t="shared" si="43"/>
        <v>0</v>
      </c>
    </row>
    <row r="50" spans="1:17" s="959" customFormat="1" ht="14">
      <c r="A50" s="2589"/>
      <c r="B50" s="2592"/>
      <c r="C50" s="960" t="s">
        <v>2566</v>
      </c>
      <c r="D50" s="955"/>
      <c r="E50" s="961"/>
      <c r="F50" s="957">
        <f t="shared" si="43"/>
        <v>0</v>
      </c>
      <c r="G50" s="957">
        <f t="shared" si="43"/>
        <v>0</v>
      </c>
      <c r="H50" s="957">
        <f t="shared" si="43"/>
        <v>0</v>
      </c>
      <c r="I50" s="957">
        <f t="shared" si="43"/>
        <v>0</v>
      </c>
      <c r="J50" s="957">
        <f t="shared" ref="J50:L50" si="46">J418-J202</f>
        <v>0</v>
      </c>
      <c r="K50" s="957">
        <f t="shared" si="46"/>
        <v>0</v>
      </c>
      <c r="L50" s="957">
        <f t="shared" si="46"/>
        <v>0</v>
      </c>
      <c r="M50" s="957">
        <f t="shared" si="43"/>
        <v>0</v>
      </c>
      <c r="N50" s="957">
        <f t="shared" si="43"/>
        <v>0</v>
      </c>
      <c r="O50" s="957">
        <f t="shared" si="43"/>
        <v>0</v>
      </c>
      <c r="P50" s="957">
        <f t="shared" si="43"/>
        <v>0</v>
      </c>
      <c r="Q50" s="958">
        <f t="shared" si="43"/>
        <v>0</v>
      </c>
    </row>
    <row r="51" spans="1:17" s="959" customFormat="1" ht="14">
      <c r="A51" s="2589"/>
      <c r="B51" s="2593" t="s">
        <v>2567</v>
      </c>
      <c r="C51" s="960" t="s">
        <v>2568</v>
      </c>
      <c r="D51" s="955">
        <v>1</v>
      </c>
      <c r="E51" s="961">
        <v>0.02</v>
      </c>
      <c r="F51" s="957">
        <f t="shared" si="43"/>
        <v>0</v>
      </c>
      <c r="G51" s="957">
        <f t="shared" si="43"/>
        <v>0</v>
      </c>
      <c r="H51" s="957">
        <f t="shared" si="43"/>
        <v>0</v>
      </c>
      <c r="I51" s="957">
        <f t="shared" si="43"/>
        <v>0</v>
      </c>
      <c r="J51" s="957">
        <f t="shared" ref="J51:L51" si="47">J419-J203</f>
        <v>0</v>
      </c>
      <c r="K51" s="957">
        <f t="shared" si="47"/>
        <v>0</v>
      </c>
      <c r="L51" s="957">
        <f t="shared" si="47"/>
        <v>0</v>
      </c>
      <c r="M51" s="957">
        <f t="shared" si="43"/>
        <v>0</v>
      </c>
      <c r="N51" s="957">
        <f t="shared" si="43"/>
        <v>0</v>
      </c>
      <c r="O51" s="957">
        <f t="shared" si="43"/>
        <v>0</v>
      </c>
      <c r="P51" s="957">
        <f t="shared" si="43"/>
        <v>0</v>
      </c>
      <c r="Q51" s="958">
        <f t="shared" si="43"/>
        <v>0</v>
      </c>
    </row>
    <row r="52" spans="1:17" s="959" customFormat="1" ht="14">
      <c r="A52" s="2589"/>
      <c r="B52" s="2591"/>
      <c r="C52" s="960" t="s">
        <v>2548</v>
      </c>
      <c r="D52" s="955">
        <v>1</v>
      </c>
      <c r="E52" s="961">
        <v>0.02</v>
      </c>
      <c r="F52" s="957">
        <f t="shared" si="43"/>
        <v>0</v>
      </c>
      <c r="G52" s="957">
        <f t="shared" si="43"/>
        <v>0</v>
      </c>
      <c r="H52" s="957">
        <f t="shared" si="43"/>
        <v>0</v>
      </c>
      <c r="I52" s="957">
        <f t="shared" si="43"/>
        <v>0</v>
      </c>
      <c r="J52" s="957">
        <f t="shared" ref="J52:L52" si="48">J420-J204</f>
        <v>0</v>
      </c>
      <c r="K52" s="957">
        <f t="shared" si="48"/>
        <v>0</v>
      </c>
      <c r="L52" s="957">
        <f t="shared" si="48"/>
        <v>0</v>
      </c>
      <c r="M52" s="957">
        <f t="shared" si="43"/>
        <v>0</v>
      </c>
      <c r="N52" s="957">
        <f t="shared" si="43"/>
        <v>0</v>
      </c>
      <c r="O52" s="957">
        <f t="shared" si="43"/>
        <v>0</v>
      </c>
      <c r="P52" s="957">
        <f t="shared" si="43"/>
        <v>0</v>
      </c>
      <c r="Q52" s="958">
        <f t="shared" si="43"/>
        <v>0</v>
      </c>
    </row>
    <row r="53" spans="1:17" s="959" customFormat="1" ht="14">
      <c r="A53" s="2589"/>
      <c r="B53" s="2591"/>
      <c r="C53" s="960" t="s">
        <v>2549</v>
      </c>
      <c r="D53" s="955">
        <v>1</v>
      </c>
      <c r="E53" s="961">
        <v>0.02</v>
      </c>
      <c r="F53" s="957">
        <f t="shared" si="43"/>
        <v>0</v>
      </c>
      <c r="G53" s="957">
        <f t="shared" si="43"/>
        <v>0</v>
      </c>
      <c r="H53" s="957">
        <f t="shared" si="43"/>
        <v>0</v>
      </c>
      <c r="I53" s="957">
        <f t="shared" si="43"/>
        <v>0</v>
      </c>
      <c r="J53" s="957">
        <f t="shared" ref="J53:L53" si="49">J421-J205</f>
        <v>0</v>
      </c>
      <c r="K53" s="957">
        <f t="shared" si="49"/>
        <v>0</v>
      </c>
      <c r="L53" s="957">
        <f t="shared" si="49"/>
        <v>0</v>
      </c>
      <c r="M53" s="957">
        <f t="shared" si="43"/>
        <v>0</v>
      </c>
      <c r="N53" s="957">
        <f t="shared" si="43"/>
        <v>0</v>
      </c>
      <c r="O53" s="957">
        <f t="shared" si="43"/>
        <v>0</v>
      </c>
      <c r="P53" s="957">
        <f t="shared" si="43"/>
        <v>0</v>
      </c>
      <c r="Q53" s="958">
        <f t="shared" si="43"/>
        <v>0</v>
      </c>
    </row>
    <row r="54" spans="1:17" s="959" customFormat="1" ht="14">
      <c r="A54" s="2589"/>
      <c r="B54" s="2591"/>
      <c r="C54" s="960" t="s">
        <v>2552</v>
      </c>
      <c r="D54" s="955">
        <v>1</v>
      </c>
      <c r="E54" s="961">
        <v>0.02</v>
      </c>
      <c r="F54" s="957">
        <f>F424-F208</f>
        <v>0</v>
      </c>
      <c r="G54" s="957">
        <f t="shared" ref="G54:Q54" si="50">G424-G208</f>
        <v>0</v>
      </c>
      <c r="H54" s="957">
        <f t="shared" si="50"/>
        <v>0</v>
      </c>
      <c r="I54" s="957">
        <f t="shared" si="50"/>
        <v>0</v>
      </c>
      <c r="J54" s="957">
        <f t="shared" ref="J54:L54" si="51">J424-J208</f>
        <v>0</v>
      </c>
      <c r="K54" s="957">
        <f t="shared" si="51"/>
        <v>0</v>
      </c>
      <c r="L54" s="957">
        <f t="shared" si="51"/>
        <v>0</v>
      </c>
      <c r="M54" s="957">
        <f t="shared" si="50"/>
        <v>0</v>
      </c>
      <c r="N54" s="957">
        <f t="shared" si="50"/>
        <v>0</v>
      </c>
      <c r="O54" s="957">
        <f t="shared" si="50"/>
        <v>0</v>
      </c>
      <c r="P54" s="957">
        <f t="shared" si="50"/>
        <v>0</v>
      </c>
      <c r="Q54" s="958">
        <f t="shared" si="50"/>
        <v>0</v>
      </c>
    </row>
    <row r="55" spans="1:17" s="959" customFormat="1" ht="14">
      <c r="A55" s="2589"/>
      <c r="B55" s="2591"/>
      <c r="C55" s="962" t="s">
        <v>2569</v>
      </c>
      <c r="D55" s="955"/>
      <c r="E55" s="961"/>
      <c r="F55" s="957"/>
      <c r="G55" s="917"/>
      <c r="H55" s="917"/>
      <c r="I55" s="917"/>
      <c r="J55" s="917"/>
      <c r="K55" s="917"/>
      <c r="L55" s="917"/>
      <c r="M55" s="917"/>
      <c r="N55" s="917"/>
      <c r="O55" s="917"/>
      <c r="P55" s="917"/>
      <c r="Q55" s="918"/>
    </row>
    <row r="56" spans="1:17" s="959" customFormat="1" ht="14">
      <c r="A56" s="2589"/>
      <c r="B56" s="2591"/>
      <c r="C56" s="962" t="s">
        <v>2570</v>
      </c>
      <c r="D56" s="955"/>
      <c r="E56" s="961"/>
      <c r="F56" s="957"/>
      <c r="G56" s="917"/>
      <c r="H56" s="917"/>
      <c r="I56" s="917"/>
      <c r="J56" s="917"/>
      <c r="K56" s="917"/>
      <c r="L56" s="917"/>
      <c r="M56" s="917"/>
      <c r="N56" s="917"/>
      <c r="O56" s="917"/>
      <c r="P56" s="917"/>
      <c r="Q56" s="918"/>
    </row>
    <row r="57" spans="1:17" s="959" customFormat="1" ht="14">
      <c r="A57" s="2589"/>
      <c r="B57" s="2592"/>
      <c r="C57" s="960" t="s">
        <v>2555</v>
      </c>
      <c r="D57" s="955">
        <v>1</v>
      </c>
      <c r="E57" s="961">
        <v>0.02</v>
      </c>
      <c r="F57" s="957">
        <f>F427-F211</f>
        <v>0</v>
      </c>
      <c r="G57" s="957">
        <f t="shared" ref="G57:Q57" si="52">G427-G211</f>
        <v>0</v>
      </c>
      <c r="H57" s="957">
        <f t="shared" si="52"/>
        <v>0</v>
      </c>
      <c r="I57" s="957">
        <f t="shared" si="52"/>
        <v>0</v>
      </c>
      <c r="J57" s="957">
        <f t="shared" ref="J57:L57" si="53">J427-J211</f>
        <v>0</v>
      </c>
      <c r="K57" s="957">
        <f t="shared" si="53"/>
        <v>0</v>
      </c>
      <c r="L57" s="957">
        <f t="shared" si="53"/>
        <v>0</v>
      </c>
      <c r="M57" s="957">
        <f t="shared" si="52"/>
        <v>0</v>
      </c>
      <c r="N57" s="957">
        <f t="shared" si="52"/>
        <v>0</v>
      </c>
      <c r="O57" s="957">
        <f t="shared" si="52"/>
        <v>0</v>
      </c>
      <c r="P57" s="957">
        <f t="shared" si="52"/>
        <v>0</v>
      </c>
      <c r="Q57" s="958">
        <f t="shared" si="52"/>
        <v>0</v>
      </c>
    </row>
    <row r="58" spans="1:17" s="959" customFormat="1" ht="14">
      <c r="A58" s="2589"/>
      <c r="B58" s="963" t="s">
        <v>2571</v>
      </c>
      <c r="C58" s="964" t="s">
        <v>2572</v>
      </c>
      <c r="D58" s="955">
        <v>1</v>
      </c>
      <c r="E58" s="961">
        <v>0</v>
      </c>
      <c r="F58" s="957">
        <f>F430-F214</f>
        <v>0</v>
      </c>
      <c r="G58" s="957">
        <f t="shared" ref="G58:Q58" si="54">G430-G214</f>
        <v>0</v>
      </c>
      <c r="H58" s="957">
        <f t="shared" si="54"/>
        <v>0</v>
      </c>
      <c r="I58" s="957">
        <f t="shared" si="54"/>
        <v>0</v>
      </c>
      <c r="J58" s="957">
        <f t="shared" ref="J58:L58" si="55">J430-J214</f>
        <v>0</v>
      </c>
      <c r="K58" s="957">
        <f t="shared" si="55"/>
        <v>0</v>
      </c>
      <c r="L58" s="957">
        <f t="shared" si="55"/>
        <v>0</v>
      </c>
      <c r="M58" s="957">
        <f t="shared" si="54"/>
        <v>0</v>
      </c>
      <c r="N58" s="957">
        <f t="shared" si="54"/>
        <v>0</v>
      </c>
      <c r="O58" s="957">
        <f t="shared" si="54"/>
        <v>0</v>
      </c>
      <c r="P58" s="957">
        <f t="shared" si="54"/>
        <v>0</v>
      </c>
      <c r="Q58" s="958">
        <f t="shared" si="54"/>
        <v>0</v>
      </c>
    </row>
    <row r="59" spans="1:17" s="846" customFormat="1" ht="14">
      <c r="A59" s="2589"/>
      <c r="B59" s="965" t="s">
        <v>2573</v>
      </c>
      <c r="C59" s="966" t="s">
        <v>2574</v>
      </c>
      <c r="D59" s="955">
        <v>1</v>
      </c>
      <c r="E59" s="961"/>
      <c r="F59" s="957">
        <f>SUM(G59:Q59)</f>
        <v>635088</v>
      </c>
      <c r="G59" s="942">
        <f>+'変更諸経費表 (東梅田)'!G66</f>
        <v>363047</v>
      </c>
      <c r="H59" s="942"/>
      <c r="I59" s="942"/>
      <c r="J59" s="942"/>
      <c r="K59" s="942"/>
      <c r="L59" s="942">
        <f>+'変更諸経費表 (堺筋本町)'!G66</f>
        <v>272041</v>
      </c>
      <c r="M59" s="942"/>
      <c r="N59" s="942"/>
      <c r="O59" s="942"/>
      <c r="P59" s="942"/>
      <c r="Q59" s="943"/>
    </row>
    <row r="60" spans="1:17" s="846" customFormat="1" ht="14">
      <c r="A60" s="2589"/>
      <c r="B60" s="967" t="s">
        <v>2575</v>
      </c>
      <c r="C60" s="968" t="s">
        <v>2576</v>
      </c>
      <c r="D60" s="969">
        <v>1</v>
      </c>
      <c r="E60" s="970"/>
      <c r="F60" s="971"/>
      <c r="G60" s="972"/>
      <c r="H60" s="972"/>
      <c r="I60" s="972"/>
      <c r="J60" s="972"/>
      <c r="K60" s="972"/>
      <c r="L60" s="972"/>
      <c r="M60" s="972"/>
      <c r="N60" s="972"/>
      <c r="O60" s="972"/>
      <c r="P60" s="972"/>
      <c r="Q60" s="973"/>
    </row>
    <row r="61" spans="1:17" s="846" customFormat="1" ht="14">
      <c r="A61" s="974"/>
      <c r="B61" s="2594" t="s">
        <v>2577</v>
      </c>
      <c r="C61" s="2595"/>
      <c r="D61" s="975"/>
      <c r="E61" s="976"/>
      <c r="F61" s="977">
        <f>SUM(G61:Q61)</f>
        <v>635088</v>
      </c>
      <c r="G61" s="978">
        <f>SUM(G47:G60)</f>
        <v>363047</v>
      </c>
      <c r="H61" s="978">
        <f t="shared" ref="H61:Q61" si="56">SUM(H47:H60)</f>
        <v>0</v>
      </c>
      <c r="I61" s="978">
        <f t="shared" si="56"/>
        <v>0</v>
      </c>
      <c r="J61" s="978">
        <f t="shared" ref="J61:L61" si="57">SUM(J47:J60)</f>
        <v>0</v>
      </c>
      <c r="K61" s="978">
        <f t="shared" si="57"/>
        <v>0</v>
      </c>
      <c r="L61" s="978">
        <f t="shared" si="57"/>
        <v>272041</v>
      </c>
      <c r="M61" s="978">
        <f t="shared" si="56"/>
        <v>0</v>
      </c>
      <c r="N61" s="978">
        <f t="shared" si="56"/>
        <v>0</v>
      </c>
      <c r="O61" s="978">
        <f t="shared" si="56"/>
        <v>0</v>
      </c>
      <c r="P61" s="978">
        <f t="shared" si="56"/>
        <v>0</v>
      </c>
      <c r="Q61" s="979">
        <f t="shared" si="56"/>
        <v>0</v>
      </c>
    </row>
    <row r="62" spans="1:17" s="846" customFormat="1" ht="14" hidden="1">
      <c r="A62" s="974"/>
      <c r="B62" s="2594" t="s">
        <v>2578</v>
      </c>
      <c r="C62" s="2595"/>
      <c r="D62" s="975"/>
      <c r="E62" s="976"/>
      <c r="F62" s="977">
        <f>SUM(G62:Q62)</f>
        <v>0</v>
      </c>
      <c r="G62" s="980">
        <f>IF(G59="",IF(G14+G22=0,IF(G8=G84,G61,0),0),0)</f>
        <v>0</v>
      </c>
      <c r="H62" s="980">
        <f t="shared" ref="H62:Q62" si="58">IF(H59="",IF(H14+H22=0,IF(H8=H84,H61,0),0),0)</f>
        <v>0</v>
      </c>
      <c r="I62" s="980">
        <f t="shared" si="58"/>
        <v>0</v>
      </c>
      <c r="J62" s="980">
        <f t="shared" ref="J62:L62" si="59">IF(J59="",IF(J14+J22=0,IF(J8=J84,J61,0),0),0)</f>
        <v>0</v>
      </c>
      <c r="K62" s="980">
        <f t="shared" si="59"/>
        <v>0</v>
      </c>
      <c r="L62" s="980">
        <f t="shared" si="59"/>
        <v>0</v>
      </c>
      <c r="M62" s="980">
        <f t="shared" si="58"/>
        <v>0</v>
      </c>
      <c r="N62" s="980">
        <f t="shared" si="58"/>
        <v>0</v>
      </c>
      <c r="O62" s="980">
        <f t="shared" si="58"/>
        <v>0</v>
      </c>
      <c r="P62" s="980">
        <f t="shared" si="58"/>
        <v>0</v>
      </c>
      <c r="Q62" s="980">
        <f t="shared" si="58"/>
        <v>0</v>
      </c>
    </row>
    <row r="63" spans="1:17" s="846" customFormat="1" ht="13.5" hidden="1" customHeight="1">
      <c r="A63" s="974"/>
      <c r="B63" s="2594" t="s">
        <v>2579</v>
      </c>
      <c r="C63" s="2595"/>
      <c r="D63" s="975"/>
      <c r="E63" s="976"/>
      <c r="F63" s="977">
        <f>SUM(G63:Q63)</f>
        <v>186953</v>
      </c>
      <c r="G63" s="981">
        <f t="shared" ref="G63:Q63" si="60">G13-(G43+G44)</f>
        <v>110511</v>
      </c>
      <c r="H63" s="981">
        <f t="shared" si="60"/>
        <v>0</v>
      </c>
      <c r="I63" s="981">
        <f t="shared" si="60"/>
        <v>0</v>
      </c>
      <c r="J63" s="981">
        <f t="shared" ref="J63:L63" si="61">J13-(J43+J44)</f>
        <v>0</v>
      </c>
      <c r="K63" s="981">
        <f t="shared" si="61"/>
        <v>0</v>
      </c>
      <c r="L63" s="981">
        <f t="shared" si="61"/>
        <v>76442</v>
      </c>
      <c r="M63" s="981">
        <f t="shared" si="60"/>
        <v>0</v>
      </c>
      <c r="N63" s="981">
        <f t="shared" si="60"/>
        <v>0</v>
      </c>
      <c r="O63" s="981">
        <f t="shared" si="60"/>
        <v>0</v>
      </c>
      <c r="P63" s="981">
        <f t="shared" si="60"/>
        <v>0</v>
      </c>
      <c r="Q63" s="981">
        <f t="shared" si="60"/>
        <v>0</v>
      </c>
    </row>
    <row r="64" spans="1:17" s="846" customFormat="1" ht="14" hidden="1">
      <c r="A64" s="974"/>
      <c r="B64" s="2594" t="s">
        <v>2580</v>
      </c>
      <c r="C64" s="2595"/>
      <c r="D64" s="975"/>
      <c r="E64" s="976"/>
      <c r="F64" s="977">
        <f>SUM(G64:Q64)</f>
        <v>0</v>
      </c>
      <c r="G64" s="978">
        <f>IF($F$62=0,0,(IF(G62=0,INT(G63/$F63*$F62),0)))</f>
        <v>0</v>
      </c>
      <c r="H64" s="978">
        <f t="shared" ref="H64:Q64" si="62">IF($F$62=0,0,(IF(H62=0,INT(H63/$F63*$F62),0)))</f>
        <v>0</v>
      </c>
      <c r="I64" s="978">
        <f t="shared" si="62"/>
        <v>0</v>
      </c>
      <c r="J64" s="978">
        <f t="shared" ref="J64:L64" si="63">IF($F$62=0,0,(IF(J62=0,INT(J63/$F63*$F62),0)))</f>
        <v>0</v>
      </c>
      <c r="K64" s="978">
        <f t="shared" si="63"/>
        <v>0</v>
      </c>
      <c r="L64" s="978">
        <f t="shared" si="63"/>
        <v>0</v>
      </c>
      <c r="M64" s="978">
        <f t="shared" si="62"/>
        <v>0</v>
      </c>
      <c r="N64" s="978">
        <f t="shared" si="62"/>
        <v>0</v>
      </c>
      <c r="O64" s="978">
        <f t="shared" si="62"/>
        <v>0</v>
      </c>
      <c r="P64" s="978">
        <f t="shared" si="62"/>
        <v>0</v>
      </c>
      <c r="Q64" s="978">
        <f t="shared" si="62"/>
        <v>0</v>
      </c>
    </row>
    <row r="65" spans="1:17" s="846" customFormat="1" ht="14" hidden="1">
      <c r="A65" s="974"/>
      <c r="B65" s="2594" t="s">
        <v>2581</v>
      </c>
      <c r="C65" s="2595"/>
      <c r="D65" s="975"/>
      <c r="E65" s="976"/>
      <c r="F65" s="977">
        <f>F62-F64</f>
        <v>0</v>
      </c>
      <c r="G65" s="978">
        <f>IF($F65=0,0,IF(G64=0,0,$F65))</f>
        <v>0</v>
      </c>
      <c r="H65" s="978">
        <f>IF($F65=0,0,IF(H64=0,0,IF(SUM($G65:G65)=0,$F65,0)))</f>
        <v>0</v>
      </c>
      <c r="I65" s="978">
        <f>IF($F65=0,0,IF(I64=0,0,IF(SUM($G65:H65)=0,$F65,0)))</f>
        <v>0</v>
      </c>
      <c r="J65" s="978">
        <f>IF($F65=0,0,IF(J64=0,0,IF(SUM(F65:$G65)=0,$F65,0)))</f>
        <v>0</v>
      </c>
      <c r="K65" s="978">
        <f>IF($F65=0,0,IF(K64=0,0,IF(SUM($G65:J65)=0,$F65,0)))</f>
        <v>0</v>
      </c>
      <c r="L65" s="978">
        <f>IF($F65=0,0,IF(L64=0,0,IF(SUM($G65:K65)=0,$F65,0)))</f>
        <v>0</v>
      </c>
      <c r="M65" s="978">
        <f>IF($F65=0,0,IF(M64=0,0,IF(SUM($G65:I65)=0,$F65,0)))</f>
        <v>0</v>
      </c>
      <c r="N65" s="978">
        <f>IF($F65=0,0,IF(N64=0,0,IF(SUM($G65:M65)=0,$F65,0)))</f>
        <v>0</v>
      </c>
      <c r="O65" s="978">
        <f>IF($F65=0,0,IF(O64=0,0,IF(SUM($G65:N65)=0,$F65,0)))</f>
        <v>0</v>
      </c>
      <c r="P65" s="978">
        <f>IF($F65=0,0,IF(P64=0,0,IF(SUM($G65:O65)=0,$F65,0)))</f>
        <v>0</v>
      </c>
      <c r="Q65" s="978">
        <f>IF($F65=0,0,IF(Q64=0,0,IF(SUM($G65:P65)=0,$F65,0)))</f>
        <v>0</v>
      </c>
    </row>
    <row r="66" spans="1:17" s="846" customFormat="1" ht="13.5" customHeight="1">
      <c r="A66" s="974"/>
      <c r="B66" s="2612" t="s">
        <v>2582</v>
      </c>
      <c r="C66" s="2613"/>
      <c r="D66" s="982"/>
      <c r="E66" s="983"/>
      <c r="F66" s="977">
        <f>SUM(G66:Q66)</f>
        <v>635088</v>
      </c>
      <c r="G66" s="984">
        <f>IF(G59="",IF(G14+G22=0,IF(G8=G84,0,G61+G64+G65),G61+G64+G65),G59)</f>
        <v>363047</v>
      </c>
      <c r="H66" s="984">
        <f t="shared" ref="H66:Q66" si="64">IF(H59="",IF(H14+H22=0,IF(H8=H84,0,H61+H64+H65),H61+H64+H65),H59)</f>
        <v>0</v>
      </c>
      <c r="I66" s="984">
        <f t="shared" si="64"/>
        <v>0</v>
      </c>
      <c r="J66" s="984">
        <f t="shared" ref="J66:L66" si="65">IF(J59="",IF(J14+J22=0,IF(J8=J84,0,J61+J64+J65),J61+J64+J65),J59)</f>
        <v>0</v>
      </c>
      <c r="K66" s="984">
        <f t="shared" si="65"/>
        <v>0</v>
      </c>
      <c r="L66" s="984">
        <f t="shared" si="65"/>
        <v>272041</v>
      </c>
      <c r="M66" s="984">
        <f t="shared" si="64"/>
        <v>0</v>
      </c>
      <c r="N66" s="984">
        <f t="shared" si="64"/>
        <v>0</v>
      </c>
      <c r="O66" s="984">
        <f t="shared" si="64"/>
        <v>0</v>
      </c>
      <c r="P66" s="984">
        <f t="shared" si="64"/>
        <v>0</v>
      </c>
      <c r="Q66" s="984">
        <f t="shared" si="64"/>
        <v>0</v>
      </c>
    </row>
    <row r="67" spans="1:17" s="846" customFormat="1" ht="14">
      <c r="A67" s="985" t="s">
        <v>2583</v>
      </c>
      <c r="B67" s="986"/>
      <c r="C67" s="986"/>
      <c r="D67" s="987"/>
      <c r="E67" s="988" t="s">
        <v>2584</v>
      </c>
      <c r="F67" s="989">
        <f>SUM(G67:Q67)</f>
        <v>7717041</v>
      </c>
      <c r="G67" s="990">
        <f t="shared" ref="G67:Q67" si="66">G13-G45+G66</f>
        <v>4457558</v>
      </c>
      <c r="H67" s="990">
        <f t="shared" si="66"/>
        <v>0</v>
      </c>
      <c r="I67" s="990">
        <f t="shared" si="66"/>
        <v>0</v>
      </c>
      <c r="J67" s="990">
        <f t="shared" ref="J67:L67" si="67">J13-J45+J66</f>
        <v>0</v>
      </c>
      <c r="K67" s="990">
        <f t="shared" si="67"/>
        <v>0</v>
      </c>
      <c r="L67" s="990">
        <f t="shared" si="67"/>
        <v>3259483</v>
      </c>
      <c r="M67" s="990">
        <f t="shared" si="66"/>
        <v>0</v>
      </c>
      <c r="N67" s="990">
        <f t="shared" si="66"/>
        <v>0</v>
      </c>
      <c r="O67" s="990">
        <f t="shared" si="66"/>
        <v>0</v>
      </c>
      <c r="P67" s="990">
        <f t="shared" si="66"/>
        <v>0</v>
      </c>
      <c r="Q67" s="990">
        <f t="shared" si="66"/>
        <v>0</v>
      </c>
    </row>
    <row r="68" spans="1:17" s="846" customFormat="1" ht="14">
      <c r="A68" s="991"/>
      <c r="B68" s="2614" t="s">
        <v>2585</v>
      </c>
      <c r="C68" s="2615"/>
      <c r="D68" s="992"/>
      <c r="E68" s="993"/>
      <c r="F68" s="994"/>
      <c r="G68" s="995"/>
      <c r="H68" s="995"/>
      <c r="I68" s="995"/>
      <c r="J68" s="995"/>
      <c r="K68" s="995"/>
      <c r="L68" s="995"/>
      <c r="M68" s="995"/>
      <c r="N68" s="995"/>
      <c r="O68" s="995"/>
      <c r="P68" s="995"/>
      <c r="Q68" s="996"/>
    </row>
    <row r="69" spans="1:17" s="846" customFormat="1" ht="13.5" customHeight="1">
      <c r="A69" s="991"/>
      <c r="B69" s="997" t="s">
        <v>2586</v>
      </c>
      <c r="C69" s="998"/>
      <c r="D69" s="999"/>
      <c r="E69" s="1000"/>
      <c r="F69" s="1001">
        <f>+F463-F248</f>
        <v>742121</v>
      </c>
      <c r="G69" s="1001">
        <f>+G463-G248</f>
        <v>495335</v>
      </c>
      <c r="H69" s="1001">
        <f t="shared" ref="H69:Q69" si="68">+H463-H248</f>
        <v>-7750</v>
      </c>
      <c r="I69" s="1001">
        <f t="shared" si="68"/>
        <v>-741</v>
      </c>
      <c r="J69" s="1001">
        <f t="shared" ref="J69:K69" si="69">+J463-J248</f>
        <v>-38032</v>
      </c>
      <c r="K69" s="1001">
        <f t="shared" si="69"/>
        <v>-3589</v>
      </c>
      <c r="L69" s="1001">
        <f>+L463-L248</f>
        <v>355634</v>
      </c>
      <c r="M69" s="1001">
        <f t="shared" si="68"/>
        <v>-9971</v>
      </c>
      <c r="N69" s="1001">
        <f t="shared" si="68"/>
        <v>-48765</v>
      </c>
      <c r="O69" s="1001">
        <f>+O463-O248</f>
        <v>0</v>
      </c>
      <c r="P69" s="1001">
        <f t="shared" si="68"/>
        <v>0</v>
      </c>
      <c r="Q69" s="1002">
        <f t="shared" si="68"/>
        <v>0</v>
      </c>
    </row>
    <row r="70" spans="1:17" s="846" customFormat="1" ht="13.5" hidden="1" customHeight="1">
      <c r="A70" s="974"/>
      <c r="B70" s="2594" t="s">
        <v>2578</v>
      </c>
      <c r="C70" s="2595"/>
      <c r="D70" s="975"/>
      <c r="E70" s="976"/>
      <c r="F70" s="977">
        <f>SUM(G70:Q70)</f>
        <v>-108848</v>
      </c>
      <c r="G70" s="1003">
        <f>IF(G67=0,G69,0)</f>
        <v>0</v>
      </c>
      <c r="H70" s="1003">
        <f t="shared" ref="H70:Q70" si="70">IF(H67=0,H69,0)</f>
        <v>-7750</v>
      </c>
      <c r="I70" s="1003">
        <f t="shared" si="70"/>
        <v>-741</v>
      </c>
      <c r="J70" s="1003">
        <f t="shared" ref="J70" si="71">IF(J67=0,J69,0)</f>
        <v>-38032</v>
      </c>
      <c r="K70" s="1003">
        <f>IF(K67=0,K69,0)</f>
        <v>-3589</v>
      </c>
      <c r="L70" s="1003">
        <f t="shared" ref="L70" si="72">IF(L67=0,L69,0)</f>
        <v>0</v>
      </c>
      <c r="M70" s="1003">
        <f t="shared" si="70"/>
        <v>-9971</v>
      </c>
      <c r="N70" s="1003">
        <f>IF(N67=0,N69,0)</f>
        <v>-48765</v>
      </c>
      <c r="O70" s="1003">
        <f t="shared" si="70"/>
        <v>0</v>
      </c>
      <c r="P70" s="1003">
        <f t="shared" si="70"/>
        <v>0</v>
      </c>
      <c r="Q70" s="1003">
        <f t="shared" si="70"/>
        <v>0</v>
      </c>
    </row>
    <row r="71" spans="1:17" s="846" customFormat="1" ht="13.5" hidden="1" customHeight="1">
      <c r="A71" s="974"/>
      <c r="B71" s="2594" t="s">
        <v>2587</v>
      </c>
      <c r="C71" s="2595"/>
      <c r="D71" s="975"/>
      <c r="E71" s="976"/>
      <c r="F71" s="977">
        <f>SUM(G71:Q71)</f>
        <v>7717041</v>
      </c>
      <c r="G71" s="1004">
        <f>IF(G68=0,G67,G67-(G43+G44+G59))</f>
        <v>4457558</v>
      </c>
      <c r="H71" s="1004">
        <f>IF(H68=0,H67,H67-(H43+H44+H59))</f>
        <v>0</v>
      </c>
      <c r="I71" s="1004">
        <f t="shared" ref="I71:Q71" si="73">IF(I68=0,I67,I67-(I43+I44+I59))</f>
        <v>0</v>
      </c>
      <c r="J71" s="1004">
        <f t="shared" ref="J71:L71" si="74">IF(J68=0,J67,J67-(J43+J44+J59))</f>
        <v>0</v>
      </c>
      <c r="K71" s="1004">
        <f t="shared" si="74"/>
        <v>0</v>
      </c>
      <c r="L71" s="1004">
        <f t="shared" si="74"/>
        <v>3259483</v>
      </c>
      <c r="M71" s="1004">
        <f t="shared" si="73"/>
        <v>0</v>
      </c>
      <c r="N71" s="1004">
        <f t="shared" si="73"/>
        <v>0</v>
      </c>
      <c r="O71" s="1004">
        <f t="shared" si="73"/>
        <v>0</v>
      </c>
      <c r="P71" s="1004">
        <f t="shared" si="73"/>
        <v>0</v>
      </c>
      <c r="Q71" s="1004">
        <f t="shared" si="73"/>
        <v>0</v>
      </c>
    </row>
    <row r="72" spans="1:17" s="846" customFormat="1" ht="13.5" hidden="1" customHeight="1">
      <c r="A72" s="974"/>
      <c r="B72" s="2594" t="s">
        <v>2588</v>
      </c>
      <c r="C72" s="2595"/>
      <c r="D72" s="975"/>
      <c r="E72" s="976"/>
      <c r="F72" s="977">
        <f>SUM(G72:Q72)</f>
        <v>-108849</v>
      </c>
      <c r="G72" s="978">
        <f>IF($F$71=0,0,(INT(G71/$F71*$F70)))</f>
        <v>-62874</v>
      </c>
      <c r="H72" s="978">
        <f t="shared" ref="H72:Q72" si="75">IF($F$71=0,0,(INT(H71/$F71*$F70)))</f>
        <v>0</v>
      </c>
      <c r="I72" s="978">
        <f t="shared" si="75"/>
        <v>0</v>
      </c>
      <c r="J72" s="978">
        <f t="shared" ref="J72:L72" si="76">IF($F$71=0,0,(INT(J71/$F71*$F70)))</f>
        <v>0</v>
      </c>
      <c r="K72" s="978">
        <f t="shared" si="76"/>
        <v>0</v>
      </c>
      <c r="L72" s="978">
        <f t="shared" si="76"/>
        <v>-45975</v>
      </c>
      <c r="M72" s="978">
        <f t="shared" si="75"/>
        <v>0</v>
      </c>
      <c r="N72" s="978">
        <f t="shared" si="75"/>
        <v>0</v>
      </c>
      <c r="O72" s="978">
        <f t="shared" si="75"/>
        <v>0</v>
      </c>
      <c r="P72" s="978">
        <f t="shared" si="75"/>
        <v>0</v>
      </c>
      <c r="Q72" s="978">
        <f t="shared" si="75"/>
        <v>0</v>
      </c>
    </row>
    <row r="73" spans="1:17" s="846" customFormat="1" ht="13.5" hidden="1" customHeight="1">
      <c r="A73" s="974"/>
      <c r="B73" s="2594" t="s">
        <v>2589</v>
      </c>
      <c r="C73" s="2595"/>
      <c r="D73" s="975"/>
      <c r="E73" s="976"/>
      <c r="F73" s="977">
        <f>F70-F72</f>
        <v>1</v>
      </c>
      <c r="G73" s="978">
        <f>IF($F73=0,0,IF(G72=0,0,$F73))</f>
        <v>1</v>
      </c>
      <c r="H73" s="978">
        <f>IF($F73=0,0,IF(H72=0,0,IF(SUM($G73:G73)=0,$F73,0)))</f>
        <v>0</v>
      </c>
      <c r="I73" s="978">
        <f>IF($F73=0,0,IF(I72=0,0,IF(SUM($G73:H73)=0,$F73,0)))</f>
        <v>0</v>
      </c>
      <c r="J73" s="978">
        <f>IF($F73=0,0,IF(J72=0,0,IF(SUM(F73:$G73)=0,$F73,0)))</f>
        <v>0</v>
      </c>
      <c r="K73" s="978">
        <f>IF($F73=0,0,IF(K72=0,0,IF(SUM($G73:J73)=0,$F73,0)))</f>
        <v>0</v>
      </c>
      <c r="L73" s="978">
        <f>IF($F73=0,0,IF(L72=0,0,IF(SUM($G73:K73)=0,$F73,0)))</f>
        <v>0</v>
      </c>
      <c r="M73" s="978">
        <f>IF($F73=0,0,IF(M72=0,0,IF(SUM($G73:I73)=0,$F73,0)))</f>
        <v>0</v>
      </c>
      <c r="N73" s="978">
        <f>IF($F73=0,0,IF(N72=0,0,IF(SUM($G73:M73)=0,$F73,0)))</f>
        <v>0</v>
      </c>
      <c r="O73" s="978">
        <f>IF($F73=0,0,IF(O72=0,0,IF(SUM($G73:N73)=0,$F73,0)))</f>
        <v>0</v>
      </c>
      <c r="P73" s="978">
        <f>IF($F73=0,0,IF(P72=0,0,IF(SUM($G73:O73)=0,$F73,0)))</f>
        <v>0</v>
      </c>
      <c r="Q73" s="978">
        <f>IF($F73=0,0,IF(Q72=0,0,IF(SUM($G73:P73)=0,$F73,0)))</f>
        <v>0</v>
      </c>
    </row>
    <row r="74" spans="1:17" s="846" customFormat="1" ht="13.5" customHeight="1">
      <c r="A74" s="991"/>
      <c r="B74" s="1005" t="s">
        <v>2590</v>
      </c>
      <c r="C74" s="1006"/>
      <c r="D74" s="1007"/>
      <c r="E74" s="1008"/>
      <c r="F74" s="977">
        <f t="shared" ref="F74:F81" si="77">SUM(G74:Q74)</f>
        <v>742121</v>
      </c>
      <c r="G74" s="984">
        <f>IF(G67=0,0,G69+G72+G73)</f>
        <v>432462</v>
      </c>
      <c r="H74" s="984">
        <f t="shared" ref="H74:Q74" si="78">IF(H67=0,0,H69+H72+H73)</f>
        <v>0</v>
      </c>
      <c r="I74" s="984">
        <f t="shared" si="78"/>
        <v>0</v>
      </c>
      <c r="J74" s="984">
        <f t="shared" ref="J74:L74" si="79">IF(J67=0,0,J69+J72+J73)</f>
        <v>0</v>
      </c>
      <c r="K74" s="984">
        <f t="shared" si="79"/>
        <v>0</v>
      </c>
      <c r="L74" s="984">
        <f t="shared" si="79"/>
        <v>309659</v>
      </c>
      <c r="M74" s="984">
        <f t="shared" si="78"/>
        <v>0</v>
      </c>
      <c r="N74" s="984">
        <f t="shared" si="78"/>
        <v>0</v>
      </c>
      <c r="O74" s="984">
        <f t="shared" si="78"/>
        <v>0</v>
      </c>
      <c r="P74" s="984">
        <f t="shared" si="78"/>
        <v>0</v>
      </c>
      <c r="Q74" s="984">
        <f t="shared" si="78"/>
        <v>0</v>
      </c>
    </row>
    <row r="75" spans="1:17" s="846" customFormat="1" ht="13.5" customHeight="1" thickBot="1">
      <c r="A75" s="1009" t="s">
        <v>2591</v>
      </c>
      <c r="B75" s="1010"/>
      <c r="C75" s="1011"/>
      <c r="D75" s="1012"/>
      <c r="E75" s="1013"/>
      <c r="F75" s="1014">
        <f t="shared" si="77"/>
        <v>8459162</v>
      </c>
      <c r="G75" s="1015">
        <f>+G13+G66+G74</f>
        <v>4890020</v>
      </c>
      <c r="H75" s="1015">
        <f t="shared" ref="H75:Q75" si="80">+H13+H66+H74</f>
        <v>0</v>
      </c>
      <c r="I75" s="1015">
        <f t="shared" si="80"/>
        <v>0</v>
      </c>
      <c r="J75" s="1015">
        <f t="shared" ref="J75:L75" si="81">+J13+J66+J74</f>
        <v>0</v>
      </c>
      <c r="K75" s="1015">
        <f t="shared" si="81"/>
        <v>0</v>
      </c>
      <c r="L75" s="1015">
        <f t="shared" si="81"/>
        <v>3569142</v>
      </c>
      <c r="M75" s="1015">
        <f t="shared" si="80"/>
        <v>0</v>
      </c>
      <c r="N75" s="1015">
        <f t="shared" si="80"/>
        <v>0</v>
      </c>
      <c r="O75" s="1015">
        <f t="shared" si="80"/>
        <v>0</v>
      </c>
      <c r="P75" s="1015">
        <f t="shared" si="80"/>
        <v>0</v>
      </c>
      <c r="Q75" s="1015">
        <f t="shared" si="80"/>
        <v>0</v>
      </c>
    </row>
    <row r="76" spans="1:17" s="846" customFormat="1" ht="13.5" customHeight="1" thickTop="1">
      <c r="A76" s="1016" t="s">
        <v>394</v>
      </c>
      <c r="B76" s="1017"/>
      <c r="C76" s="1017"/>
      <c r="D76" s="1017"/>
      <c r="E76" s="1018" t="s">
        <v>2592</v>
      </c>
      <c r="F76" s="1019">
        <f t="shared" si="77"/>
        <v>8459000</v>
      </c>
      <c r="G76" s="1020">
        <f>IF(G75&lt;0,ROUNDUP(G75,-3),ROUNDDOWN(G75,-3))</f>
        <v>4890000</v>
      </c>
      <c r="H76" s="1020">
        <f t="shared" ref="H76:Q76" si="82">IF(H75&lt;0,ROUNDUP(H75,-3),ROUNDDOWN(H75,-3))</f>
        <v>0</v>
      </c>
      <c r="I76" s="1020">
        <f t="shared" si="82"/>
        <v>0</v>
      </c>
      <c r="J76" s="1020">
        <f t="shared" ref="J76:L76" si="83">IF(J75&lt;0,ROUNDUP(J75,-3),ROUNDDOWN(J75,-3))</f>
        <v>0</v>
      </c>
      <c r="K76" s="1020">
        <f t="shared" si="83"/>
        <v>0</v>
      </c>
      <c r="L76" s="1020">
        <f t="shared" si="83"/>
        <v>3569000</v>
      </c>
      <c r="M76" s="1020">
        <f t="shared" si="82"/>
        <v>0</v>
      </c>
      <c r="N76" s="1020">
        <f t="shared" si="82"/>
        <v>0</v>
      </c>
      <c r="O76" s="1020">
        <f t="shared" si="82"/>
        <v>0</v>
      </c>
      <c r="P76" s="1020">
        <f t="shared" si="82"/>
        <v>0</v>
      </c>
      <c r="Q76" s="1021">
        <f t="shared" si="82"/>
        <v>0</v>
      </c>
    </row>
    <row r="77" spans="1:17" s="846" customFormat="1" ht="13.5" customHeight="1">
      <c r="A77" s="1022"/>
      <c r="B77" s="2609" t="s">
        <v>2593</v>
      </c>
      <c r="C77" s="1023" t="s">
        <v>2594</v>
      </c>
      <c r="D77" s="1023"/>
      <c r="E77" s="1023"/>
      <c r="F77" s="1024">
        <f t="shared" si="77"/>
        <v>7081953</v>
      </c>
      <c r="G77" s="1025">
        <f t="shared" ref="G77:Q77" si="84">+G13</f>
        <v>4094511</v>
      </c>
      <c r="H77" s="1025">
        <f t="shared" si="84"/>
        <v>0</v>
      </c>
      <c r="I77" s="1025">
        <f t="shared" si="84"/>
        <v>0</v>
      </c>
      <c r="J77" s="1025">
        <f t="shared" ref="J77:L77" si="85">+J13</f>
        <v>0</v>
      </c>
      <c r="K77" s="1025">
        <f t="shared" si="85"/>
        <v>0</v>
      </c>
      <c r="L77" s="1025">
        <f t="shared" si="85"/>
        <v>2987442</v>
      </c>
      <c r="M77" s="1025">
        <f t="shared" si="84"/>
        <v>0</v>
      </c>
      <c r="N77" s="1025">
        <f t="shared" si="84"/>
        <v>0</v>
      </c>
      <c r="O77" s="1025">
        <f t="shared" si="84"/>
        <v>0</v>
      </c>
      <c r="P77" s="1025">
        <f t="shared" si="84"/>
        <v>0</v>
      </c>
      <c r="Q77" s="1026">
        <f t="shared" si="84"/>
        <v>0</v>
      </c>
    </row>
    <row r="78" spans="1:17" s="846" customFormat="1" ht="13.5" customHeight="1" thickBot="1">
      <c r="A78" s="1027"/>
      <c r="B78" s="2610"/>
      <c r="C78" s="1028" t="s">
        <v>2595</v>
      </c>
      <c r="D78" s="1028"/>
      <c r="E78" s="1028"/>
      <c r="F78" s="1029">
        <f t="shared" si="77"/>
        <v>1377047</v>
      </c>
      <c r="G78" s="1030">
        <f>+G76-G77</f>
        <v>795489</v>
      </c>
      <c r="H78" s="1030">
        <f t="shared" ref="H78:Q78" si="86">+H76-H77</f>
        <v>0</v>
      </c>
      <c r="I78" s="1030">
        <f t="shared" si="86"/>
        <v>0</v>
      </c>
      <c r="J78" s="1030">
        <f t="shared" ref="J78:L78" si="87">+J76-J77</f>
        <v>0</v>
      </c>
      <c r="K78" s="1030">
        <f t="shared" si="87"/>
        <v>0</v>
      </c>
      <c r="L78" s="1030">
        <f t="shared" si="87"/>
        <v>581558</v>
      </c>
      <c r="M78" s="1030">
        <f t="shared" si="86"/>
        <v>0</v>
      </c>
      <c r="N78" s="1030">
        <f t="shared" si="86"/>
        <v>0</v>
      </c>
      <c r="O78" s="1030">
        <f t="shared" si="86"/>
        <v>0</v>
      </c>
      <c r="P78" s="1030">
        <f t="shared" si="86"/>
        <v>0</v>
      </c>
      <c r="Q78" s="1031">
        <f t="shared" si="86"/>
        <v>0</v>
      </c>
    </row>
    <row r="79" spans="1:17" s="846" customFormat="1" ht="13.5" customHeight="1" thickTop="1">
      <c r="A79" s="1016" t="s">
        <v>2596</v>
      </c>
      <c r="B79" s="1017"/>
      <c r="C79" s="1017"/>
      <c r="D79" s="1017"/>
      <c r="E79" s="1018" t="s">
        <v>2592</v>
      </c>
      <c r="F79" s="1019">
        <f t="shared" si="77"/>
        <v>6290000</v>
      </c>
      <c r="G79" s="1020">
        <f t="shared" ref="G79:Q79" si="88">IF(G75&lt;0,ROUNDUP(G75*$G$2,-3),ROUNDDOWN(G75*$G$2,-3))</f>
        <v>3636000</v>
      </c>
      <c r="H79" s="1020">
        <f t="shared" si="88"/>
        <v>0</v>
      </c>
      <c r="I79" s="1020">
        <f t="shared" si="88"/>
        <v>0</v>
      </c>
      <c r="J79" s="1020">
        <f t="shared" ref="J79:L79" si="89">IF(J75&lt;0,ROUNDUP(J75*$G$2,-3),ROUNDDOWN(J75*$G$2,-3))</f>
        <v>0</v>
      </c>
      <c r="K79" s="1020">
        <f t="shared" si="89"/>
        <v>0</v>
      </c>
      <c r="L79" s="1020">
        <f t="shared" si="89"/>
        <v>2654000</v>
      </c>
      <c r="M79" s="1020">
        <f t="shared" si="88"/>
        <v>0</v>
      </c>
      <c r="N79" s="1020">
        <f t="shared" si="88"/>
        <v>0</v>
      </c>
      <c r="O79" s="1020">
        <f t="shared" si="88"/>
        <v>0</v>
      </c>
      <c r="P79" s="1020">
        <f t="shared" si="88"/>
        <v>0</v>
      </c>
      <c r="Q79" s="1021">
        <f t="shared" si="88"/>
        <v>0</v>
      </c>
    </row>
    <row r="80" spans="1:17" s="846" customFormat="1" ht="13.5" customHeight="1">
      <c r="A80" s="1022"/>
      <c r="B80" s="2609" t="s">
        <v>2593</v>
      </c>
      <c r="C80" s="1023" t="s">
        <v>2594</v>
      </c>
      <c r="D80" s="1023"/>
      <c r="E80" s="1023"/>
      <c r="F80" s="1024">
        <f t="shared" si="77"/>
        <v>5266849</v>
      </c>
      <c r="G80" s="1025">
        <f t="shared" ref="G80:Q80" si="90">IF(G77&lt;0,ROUNDDOWN(G77*$G$2,0),ROUNDUP(G77*$G$2,0))</f>
        <v>3045088</v>
      </c>
      <c r="H80" s="1025">
        <f t="shared" si="90"/>
        <v>0</v>
      </c>
      <c r="I80" s="1025">
        <f t="shared" si="90"/>
        <v>0</v>
      </c>
      <c r="J80" s="1025">
        <f t="shared" ref="J80:L80" si="91">IF(J77&lt;0,ROUNDDOWN(J77*$G$2,0),ROUNDUP(J77*$G$2,0))</f>
        <v>0</v>
      </c>
      <c r="K80" s="1025">
        <f t="shared" si="91"/>
        <v>0</v>
      </c>
      <c r="L80" s="1025">
        <f t="shared" si="91"/>
        <v>2221761</v>
      </c>
      <c r="M80" s="1025">
        <f t="shared" si="90"/>
        <v>0</v>
      </c>
      <c r="N80" s="1025">
        <f t="shared" si="90"/>
        <v>0</v>
      </c>
      <c r="O80" s="1025">
        <f t="shared" si="90"/>
        <v>0</v>
      </c>
      <c r="P80" s="1025">
        <f t="shared" si="90"/>
        <v>0</v>
      </c>
      <c r="Q80" s="1026">
        <f t="shared" si="90"/>
        <v>0</v>
      </c>
    </row>
    <row r="81" spans="1:17" s="846" customFormat="1" ht="13.5" customHeight="1">
      <c r="A81" s="1027"/>
      <c r="B81" s="2611"/>
      <c r="C81" s="1028" t="s">
        <v>2595</v>
      </c>
      <c r="D81" s="1028"/>
      <c r="E81" s="1028"/>
      <c r="F81" s="1029">
        <f t="shared" si="77"/>
        <v>1023151</v>
      </c>
      <c r="G81" s="1030">
        <f t="shared" ref="G81:Q81" si="92">+G79-G80</f>
        <v>590912</v>
      </c>
      <c r="H81" s="1030">
        <f t="shared" si="92"/>
        <v>0</v>
      </c>
      <c r="I81" s="1030">
        <f t="shared" si="92"/>
        <v>0</v>
      </c>
      <c r="J81" s="1030">
        <f t="shared" ref="J81:L81" si="93">+J79-J80</f>
        <v>0</v>
      </c>
      <c r="K81" s="1030">
        <f t="shared" si="93"/>
        <v>0</v>
      </c>
      <c r="L81" s="1030">
        <f t="shared" si="93"/>
        <v>432239</v>
      </c>
      <c r="M81" s="1030">
        <f t="shared" si="92"/>
        <v>0</v>
      </c>
      <c r="N81" s="1030">
        <f t="shared" si="92"/>
        <v>0</v>
      </c>
      <c r="O81" s="1030">
        <f t="shared" si="92"/>
        <v>0</v>
      </c>
      <c r="P81" s="1030">
        <f t="shared" si="92"/>
        <v>0</v>
      </c>
      <c r="Q81" s="1031">
        <f t="shared" si="92"/>
        <v>0</v>
      </c>
    </row>
    <row r="82" spans="1:17" s="885" customFormat="1" ht="13.5" customHeight="1">
      <c r="A82" s="1032"/>
      <c r="B82" s="1032"/>
      <c r="C82" s="1033"/>
      <c r="D82" s="1034"/>
      <c r="E82" s="1035" t="s">
        <v>2513</v>
      </c>
      <c r="F82" s="1036" t="str">
        <f>+F1</f>
        <v>東梅田外１駅可動式ホーム柵設置に伴う建築その他工事</v>
      </c>
      <c r="G82" s="1037"/>
      <c r="H82" s="1038"/>
      <c r="I82" s="1039"/>
      <c r="J82" s="844"/>
      <c r="K82" s="844"/>
      <c r="L82" s="844"/>
      <c r="M82" s="844"/>
      <c r="N82" s="844"/>
      <c r="O82" s="844"/>
      <c r="P82" s="844"/>
      <c r="Q82" s="845" t="s">
        <v>2597</v>
      </c>
    </row>
    <row r="83" spans="1:17" s="896" customFormat="1" ht="13.5" customHeight="1">
      <c r="A83" s="1040"/>
      <c r="B83" s="1040"/>
      <c r="C83" s="1041" t="str">
        <f>IF(OR(G83="無し",G83="なし"),"共通費集計表","随契諸経費集計表")</f>
        <v>共通費集計表</v>
      </c>
      <c r="D83" s="808"/>
      <c r="E83" s="1042"/>
      <c r="F83" s="1043" t="s">
        <v>2598</v>
      </c>
      <c r="G83" s="1044" t="s">
        <v>2599</v>
      </c>
      <c r="H83" s="1045"/>
      <c r="J83" s="1046"/>
      <c r="K83" s="1046"/>
      <c r="L83" s="1046"/>
      <c r="M83" s="1046"/>
      <c r="N83" s="1046"/>
      <c r="O83" s="1046"/>
      <c r="P83" s="1043"/>
      <c r="Q83" s="1047"/>
    </row>
    <row r="84" spans="1:17" s="885" customFormat="1" ht="13.5" customHeight="1">
      <c r="A84" s="877"/>
      <c r="B84" s="878"/>
      <c r="C84" s="879" t="s">
        <v>2522</v>
      </c>
      <c r="D84" s="880"/>
      <c r="E84" s="881"/>
      <c r="F84" s="882" t="s">
        <v>2600</v>
      </c>
      <c r="G84" s="1048">
        <v>16.600000000000001</v>
      </c>
      <c r="H84" s="1048">
        <v>11</v>
      </c>
      <c r="I84" s="1048">
        <v>16.600000000000001</v>
      </c>
      <c r="J84" s="1048">
        <v>16.600000000000001</v>
      </c>
      <c r="K84" s="1048">
        <v>16.600000000000001</v>
      </c>
      <c r="L84" s="1048">
        <v>16.600000000000001</v>
      </c>
      <c r="M84" s="1048">
        <v>11</v>
      </c>
      <c r="N84" s="1048">
        <v>16.600000000000001</v>
      </c>
      <c r="O84" s="1048"/>
      <c r="P84" s="1048"/>
      <c r="Q84" s="1049"/>
    </row>
    <row r="85" spans="1:17" s="885" customFormat="1" ht="13.5" customHeight="1">
      <c r="A85" s="886"/>
      <c r="B85" s="887"/>
      <c r="C85" s="888" t="s">
        <v>2524</v>
      </c>
      <c r="D85" s="889"/>
      <c r="E85" s="890"/>
      <c r="F85" s="891" t="s">
        <v>2601</v>
      </c>
      <c r="G85" s="1050" t="s">
        <v>2959</v>
      </c>
      <c r="H85" s="1050" t="s">
        <v>2959</v>
      </c>
      <c r="I85" s="1050" t="s">
        <v>2959</v>
      </c>
      <c r="J85" s="1050" t="s">
        <v>2959</v>
      </c>
      <c r="K85" s="1050" t="s">
        <v>2959</v>
      </c>
      <c r="L85" s="1050" t="s">
        <v>2959</v>
      </c>
      <c r="M85" s="1050" t="s">
        <v>2959</v>
      </c>
      <c r="N85" s="1050" t="s">
        <v>2959</v>
      </c>
      <c r="O85" s="1050"/>
      <c r="P85" s="1050"/>
      <c r="Q85" s="1051"/>
    </row>
    <row r="86" spans="1:17" s="896" customFormat="1" ht="13.5" customHeight="1">
      <c r="A86" s="886"/>
      <c r="B86" s="887"/>
      <c r="C86" s="887" t="s">
        <v>2602</v>
      </c>
      <c r="D86" s="887"/>
      <c r="E86" s="1052" t="s">
        <v>2608</v>
      </c>
      <c r="F86" s="1053" t="s">
        <v>2517</v>
      </c>
      <c r="G86" s="1054" t="s">
        <v>2960</v>
      </c>
      <c r="H86" s="1054" t="s">
        <v>2961</v>
      </c>
      <c r="I86" s="1054" t="s">
        <v>2962</v>
      </c>
      <c r="J86" s="1054" t="s">
        <v>2963</v>
      </c>
      <c r="K86" s="1054" t="s">
        <v>2964</v>
      </c>
      <c r="L86" s="1054" t="s">
        <v>2972</v>
      </c>
      <c r="M86" s="1054" t="s">
        <v>2973</v>
      </c>
      <c r="N86" s="1054" t="s">
        <v>2974</v>
      </c>
      <c r="O86" s="1054"/>
      <c r="P86" s="1054"/>
      <c r="Q86" s="1055"/>
    </row>
    <row r="87" spans="1:17" s="896" customFormat="1" ht="13.5" customHeight="1">
      <c r="A87" s="886"/>
      <c r="B87" s="887"/>
      <c r="C87" s="887" t="s">
        <v>2604</v>
      </c>
      <c r="D87" s="887"/>
      <c r="E87" s="1052" t="s">
        <v>2603</v>
      </c>
      <c r="F87" s="1056" t="s">
        <v>2605</v>
      </c>
      <c r="G87" s="1057" t="s">
        <v>2965</v>
      </c>
      <c r="H87" s="1057" t="s">
        <v>2966</v>
      </c>
      <c r="I87" s="1057" t="s">
        <v>2967</v>
      </c>
      <c r="J87" s="1057" t="s">
        <v>2968</v>
      </c>
      <c r="K87" s="1057" t="s">
        <v>2969</v>
      </c>
      <c r="L87" s="1057" t="s">
        <v>2965</v>
      </c>
      <c r="M87" s="1057" t="s">
        <v>2966</v>
      </c>
      <c r="N87" s="1057" t="s">
        <v>2968</v>
      </c>
      <c r="O87" s="1057"/>
      <c r="P87" s="1057"/>
      <c r="Q87" s="1058"/>
    </row>
    <row r="88" spans="1:17" s="896" customFormat="1" ht="13.5" customHeight="1">
      <c r="A88" s="2583" t="s">
        <v>2525</v>
      </c>
      <c r="B88" s="2584"/>
      <c r="C88" s="2584"/>
      <c r="D88" s="2584"/>
      <c r="E88" s="2584"/>
      <c r="F88" s="2585"/>
      <c r="G88" s="1059" t="s">
        <v>2606</v>
      </c>
      <c r="H88" s="1059" t="s">
        <v>2606</v>
      </c>
      <c r="I88" s="1059" t="s">
        <v>2606</v>
      </c>
      <c r="J88" s="1059" t="s">
        <v>2606</v>
      </c>
      <c r="K88" s="1059" t="s">
        <v>2606</v>
      </c>
      <c r="L88" s="1059" t="s">
        <v>2606</v>
      </c>
      <c r="M88" s="1059" t="s">
        <v>2606</v>
      </c>
      <c r="N88" s="1059" t="s">
        <v>2606</v>
      </c>
      <c r="O88" s="1059" t="s">
        <v>2606</v>
      </c>
      <c r="P88" s="1059" t="s">
        <v>2606</v>
      </c>
      <c r="Q88" s="1060" t="s">
        <v>2606</v>
      </c>
    </row>
    <row r="89" spans="1:17" s="896" customFormat="1" ht="30" customHeight="1">
      <c r="A89" s="2596" t="s">
        <v>2526</v>
      </c>
      <c r="B89" s="2597"/>
      <c r="C89" s="2597"/>
      <c r="D89" s="2597"/>
      <c r="E89" s="2597"/>
      <c r="F89" s="2598"/>
      <c r="G89" s="897" t="s">
        <v>2607</v>
      </c>
      <c r="H89" s="897" t="s">
        <v>2607</v>
      </c>
      <c r="I89" s="897" t="s">
        <v>2607</v>
      </c>
      <c r="J89" s="897" t="s">
        <v>2607</v>
      </c>
      <c r="K89" s="897" t="s">
        <v>2607</v>
      </c>
      <c r="L89" s="897" t="s">
        <v>2607</v>
      </c>
      <c r="M89" s="897" t="s">
        <v>2607</v>
      </c>
      <c r="N89" s="897" t="s">
        <v>2607</v>
      </c>
      <c r="O89" s="897" t="s">
        <v>2607</v>
      </c>
      <c r="P89" s="897" t="s">
        <v>2607</v>
      </c>
      <c r="Q89" s="898" t="s">
        <v>2607</v>
      </c>
    </row>
    <row r="90" spans="1:17" s="896" customFormat="1" ht="30" customHeight="1">
      <c r="A90" s="2599" t="s">
        <v>2527</v>
      </c>
      <c r="B90" s="2600"/>
      <c r="C90" s="2600"/>
      <c r="D90" s="2600"/>
      <c r="E90" s="2600"/>
      <c r="F90" s="2601"/>
      <c r="G90" s="899" t="s">
        <v>2608</v>
      </c>
      <c r="H90" s="899" t="s">
        <v>2608</v>
      </c>
      <c r="I90" s="899" t="s">
        <v>2608</v>
      </c>
      <c r="J90" s="899" t="s">
        <v>2608</v>
      </c>
      <c r="K90" s="899" t="s">
        <v>2608</v>
      </c>
      <c r="L90" s="899" t="s">
        <v>2608</v>
      </c>
      <c r="M90" s="899" t="s">
        <v>2608</v>
      </c>
      <c r="N90" s="899" t="s">
        <v>2608</v>
      </c>
      <c r="O90" s="899" t="s">
        <v>2608</v>
      </c>
      <c r="P90" s="899" t="s">
        <v>2608</v>
      </c>
      <c r="Q90" s="900" t="s">
        <v>2608</v>
      </c>
    </row>
    <row r="91" spans="1:17" s="896" customFormat="1" ht="13.5" customHeight="1">
      <c r="A91" s="877"/>
      <c r="B91" s="901" t="s">
        <v>2609</v>
      </c>
      <c r="C91" s="902"/>
      <c r="D91" s="902"/>
      <c r="E91" s="903"/>
      <c r="F91" s="904">
        <f>SUM(G91:Q91)</f>
        <v>388791162</v>
      </c>
      <c r="G91" s="905">
        <f>+G92+G96</f>
        <v>33425885</v>
      </c>
      <c r="H91" s="905">
        <f>+H92+H96</f>
        <v>22318883</v>
      </c>
      <c r="I91" s="905">
        <f t="shared" ref="I91:Q91" si="94">+I92+I96</f>
        <v>2131661</v>
      </c>
      <c r="J91" s="905">
        <f>+J92+J96</f>
        <v>107929486</v>
      </c>
      <c r="K91" s="905">
        <f>+K92+K96</f>
        <v>10208163</v>
      </c>
      <c r="L91" s="905">
        <f t="shared" ref="L91" si="95">+L92+L96</f>
        <v>44795961</v>
      </c>
      <c r="M91" s="905">
        <f>+M92+M96</f>
        <v>28913934</v>
      </c>
      <c r="N91" s="905">
        <f>+N92+N96</f>
        <v>139067189</v>
      </c>
      <c r="O91" s="905">
        <f t="shared" si="94"/>
        <v>0</v>
      </c>
      <c r="P91" s="905">
        <f t="shared" si="94"/>
        <v>0</v>
      </c>
      <c r="Q91" s="906">
        <f t="shared" si="94"/>
        <v>0</v>
      </c>
    </row>
    <row r="92" spans="1:17" s="896" customFormat="1" ht="13.5" customHeight="1">
      <c r="A92" s="886"/>
      <c r="B92" s="887"/>
      <c r="C92" s="694" t="s">
        <v>2529</v>
      </c>
      <c r="D92" s="695"/>
      <c r="E92" s="881"/>
      <c r="F92" s="907">
        <f>SUM(G92:Q92)</f>
        <v>363659083</v>
      </c>
      <c r="G92" s="1061">
        <v>29215287</v>
      </c>
      <c r="H92" s="1061">
        <v>21555646</v>
      </c>
      <c r="I92" s="1061">
        <v>2052481</v>
      </c>
      <c r="J92" s="1061">
        <v>103212496</v>
      </c>
      <c r="K92" s="1061">
        <v>9791560</v>
      </c>
      <c r="L92" s="1061">
        <v>39763280</v>
      </c>
      <c r="M92" s="1061">
        <v>27426558</v>
      </c>
      <c r="N92" s="1061">
        <v>130641775</v>
      </c>
      <c r="O92" s="1061"/>
      <c r="P92" s="1061"/>
      <c r="Q92" s="1062"/>
    </row>
    <row r="93" spans="1:17" s="896" customFormat="1" ht="13.5" customHeight="1">
      <c r="A93" s="886"/>
      <c r="B93" s="887"/>
      <c r="C93" s="1063"/>
      <c r="D93" s="1063"/>
      <c r="E93" s="910"/>
      <c r="F93" s="911" t="s">
        <v>2610</v>
      </c>
      <c r="G93" s="912">
        <f>SUM(G185:G194)</f>
        <v>33425885</v>
      </c>
      <c r="H93" s="912">
        <f t="shared" ref="H93:Q93" si="96">SUM(H185:H194)</f>
        <v>22318883</v>
      </c>
      <c r="I93" s="912">
        <f t="shared" si="96"/>
        <v>2131661</v>
      </c>
      <c r="J93" s="912">
        <f>SUM(J185:J194)</f>
        <v>107929486</v>
      </c>
      <c r="K93" s="912">
        <f>SUM(K185:K194)</f>
        <v>10208163</v>
      </c>
      <c r="L93" s="912">
        <f t="shared" ref="L93" si="97">SUM(L185:L194)</f>
        <v>44795961</v>
      </c>
      <c r="M93" s="912">
        <f>SUM(M185:M194)</f>
        <v>28913934</v>
      </c>
      <c r="N93" s="912">
        <f>SUM(N185:N194)</f>
        <v>139067189</v>
      </c>
      <c r="O93" s="912">
        <f t="shared" si="96"/>
        <v>0</v>
      </c>
      <c r="P93" s="912">
        <f t="shared" si="96"/>
        <v>0</v>
      </c>
      <c r="Q93" s="913">
        <f t="shared" si="96"/>
        <v>0</v>
      </c>
    </row>
    <row r="94" spans="1:17" s="896" customFormat="1" ht="13.5" customHeight="1">
      <c r="A94" s="886"/>
      <c r="B94" s="887"/>
      <c r="C94" s="1063"/>
      <c r="D94" s="1063"/>
      <c r="E94" s="910"/>
      <c r="F94" s="911" t="s">
        <v>2611</v>
      </c>
      <c r="G94" s="912">
        <f>SUM(G232:G234)</f>
        <v>0</v>
      </c>
      <c r="H94" s="912">
        <f t="shared" ref="H94:Q94" si="98">SUM(H232:H234)</f>
        <v>0</v>
      </c>
      <c r="I94" s="912">
        <f t="shared" si="98"/>
        <v>0</v>
      </c>
      <c r="J94" s="912">
        <f>SUM(J232:J234)</f>
        <v>0</v>
      </c>
      <c r="K94" s="912">
        <f>SUM(K232:K234)</f>
        <v>0</v>
      </c>
      <c r="L94" s="912">
        <f t="shared" ref="L94" si="99">SUM(L232:L234)</f>
        <v>0</v>
      </c>
      <c r="M94" s="912">
        <f>SUM(M232:M234)</f>
        <v>0</v>
      </c>
      <c r="N94" s="912">
        <f>SUM(N232:N234)</f>
        <v>0</v>
      </c>
      <c r="O94" s="912">
        <f t="shared" si="98"/>
        <v>0</v>
      </c>
      <c r="P94" s="912">
        <f t="shared" si="98"/>
        <v>0</v>
      </c>
      <c r="Q94" s="913">
        <f t="shared" si="98"/>
        <v>0</v>
      </c>
    </row>
    <row r="95" spans="1:17" s="896" customFormat="1" ht="13.5" customHeight="1">
      <c r="A95" s="886"/>
      <c r="B95" s="887"/>
      <c r="C95" s="1063"/>
      <c r="D95" s="1063"/>
      <c r="E95" s="910"/>
      <c r="F95" s="1064" t="s">
        <v>2612</v>
      </c>
      <c r="G95" s="912">
        <f>+G134</f>
        <v>29215287</v>
      </c>
      <c r="H95" s="912">
        <f t="shared" ref="H95:Q95" si="100">+H134</f>
        <v>21555646</v>
      </c>
      <c r="I95" s="912">
        <f t="shared" si="100"/>
        <v>2052481</v>
      </c>
      <c r="J95" s="912">
        <f t="shared" ref="J95" si="101">+J134</f>
        <v>103212496</v>
      </c>
      <c r="K95" s="912">
        <f>+K134</f>
        <v>9791560</v>
      </c>
      <c r="L95" s="912">
        <f t="shared" ref="L95" si="102">+L134</f>
        <v>39763280</v>
      </c>
      <c r="M95" s="912">
        <f t="shared" si="100"/>
        <v>27426558</v>
      </c>
      <c r="N95" s="912">
        <f>+N134</f>
        <v>130641775</v>
      </c>
      <c r="O95" s="912">
        <f t="shared" si="100"/>
        <v>0</v>
      </c>
      <c r="P95" s="912">
        <f t="shared" si="100"/>
        <v>0</v>
      </c>
      <c r="Q95" s="913">
        <f t="shared" si="100"/>
        <v>0</v>
      </c>
    </row>
    <row r="96" spans="1:17" s="896" customFormat="1" ht="13.5" customHeight="1">
      <c r="A96" s="886"/>
      <c r="B96" s="887"/>
      <c r="C96" s="701" t="s">
        <v>2530</v>
      </c>
      <c r="D96" s="701"/>
      <c r="E96" s="910"/>
      <c r="F96" s="911">
        <f t="shared" ref="F96:F113" si="103">SUM(G96:Q96)</f>
        <v>25132079</v>
      </c>
      <c r="G96" s="912">
        <f>G97+G98</f>
        <v>4210598</v>
      </c>
      <c r="H96" s="912">
        <f t="shared" ref="H96:Q96" si="104">H97+H98</f>
        <v>763237</v>
      </c>
      <c r="I96" s="912">
        <f t="shared" si="104"/>
        <v>79180</v>
      </c>
      <c r="J96" s="912">
        <f t="shared" ref="J96" si="105">J97+J98</f>
        <v>4716990</v>
      </c>
      <c r="K96" s="912">
        <f>K97+K98</f>
        <v>416603</v>
      </c>
      <c r="L96" s="912">
        <f t="shared" ref="L96" si="106">L97+L98</f>
        <v>5032681</v>
      </c>
      <c r="M96" s="912">
        <f t="shared" si="104"/>
        <v>1487376</v>
      </c>
      <c r="N96" s="912">
        <f>N97+N98</f>
        <v>8425414</v>
      </c>
      <c r="O96" s="912">
        <f t="shared" si="104"/>
        <v>0</v>
      </c>
      <c r="P96" s="912">
        <f t="shared" si="104"/>
        <v>0</v>
      </c>
      <c r="Q96" s="913">
        <f t="shared" si="104"/>
        <v>0</v>
      </c>
    </row>
    <row r="97" spans="1:17" s="896" customFormat="1" ht="13.5" customHeight="1">
      <c r="A97" s="886"/>
      <c r="B97" s="887"/>
      <c r="C97" s="914" t="s">
        <v>2531</v>
      </c>
      <c r="D97" s="701"/>
      <c r="E97" s="910"/>
      <c r="F97" s="911">
        <f t="shared" si="103"/>
        <v>0</v>
      </c>
      <c r="G97" s="912">
        <f t="shared" ref="G97:Q97" si="107">IF(G88="積上げ",0,G174)</f>
        <v>0</v>
      </c>
      <c r="H97" s="912">
        <f t="shared" si="107"/>
        <v>0</v>
      </c>
      <c r="I97" s="912">
        <f t="shared" si="107"/>
        <v>0</v>
      </c>
      <c r="J97" s="912">
        <f t="shared" ref="J97:L97" si="108">IF(J88="積上げ",0,J174)</f>
        <v>0</v>
      </c>
      <c r="K97" s="912">
        <f t="shared" si="108"/>
        <v>0</v>
      </c>
      <c r="L97" s="912">
        <f t="shared" si="108"/>
        <v>0</v>
      </c>
      <c r="M97" s="912">
        <f t="shared" si="107"/>
        <v>0</v>
      </c>
      <c r="N97" s="912">
        <f t="shared" si="107"/>
        <v>0</v>
      </c>
      <c r="O97" s="912">
        <f t="shared" si="107"/>
        <v>0</v>
      </c>
      <c r="P97" s="912">
        <f t="shared" si="107"/>
        <v>0</v>
      </c>
      <c r="Q97" s="913">
        <f t="shared" si="107"/>
        <v>0</v>
      </c>
    </row>
    <row r="98" spans="1:17" s="896" customFormat="1" ht="13.5" customHeight="1">
      <c r="A98" s="886"/>
      <c r="B98" s="887"/>
      <c r="C98" s="914" t="s">
        <v>2537</v>
      </c>
      <c r="D98" s="701"/>
      <c r="E98" s="910"/>
      <c r="F98" s="911">
        <f t="shared" si="103"/>
        <v>25132079</v>
      </c>
      <c r="G98" s="1065">
        <v>4210598</v>
      </c>
      <c r="H98" s="1065">
        <v>763237</v>
      </c>
      <c r="I98" s="1065">
        <v>79180</v>
      </c>
      <c r="J98" s="1065">
        <v>4716990</v>
      </c>
      <c r="K98" s="1065">
        <v>416603</v>
      </c>
      <c r="L98" s="1065">
        <v>5032681</v>
      </c>
      <c r="M98" s="1065">
        <v>1487376</v>
      </c>
      <c r="N98" s="1065">
        <v>8425414</v>
      </c>
      <c r="O98" s="1065"/>
      <c r="P98" s="1065"/>
      <c r="Q98" s="1066"/>
    </row>
    <row r="99" spans="1:17" s="896" customFormat="1" ht="13.5" customHeight="1">
      <c r="A99" s="886"/>
      <c r="B99" s="887"/>
      <c r="C99" s="922" t="s">
        <v>2538</v>
      </c>
      <c r="D99" s="701"/>
      <c r="E99" s="910"/>
      <c r="F99" s="911">
        <f t="shared" si="103"/>
        <v>0</v>
      </c>
      <c r="G99" s="1065"/>
      <c r="H99" s="1065"/>
      <c r="I99" s="1065"/>
      <c r="J99" s="1065"/>
      <c r="K99" s="1065"/>
      <c r="L99" s="1065"/>
      <c r="M99" s="1065"/>
      <c r="N99" s="1065"/>
      <c r="O99" s="1065"/>
      <c r="P99" s="1065"/>
      <c r="Q99" s="1066"/>
    </row>
    <row r="100" spans="1:17" s="896" customFormat="1" ht="13.5" customHeight="1">
      <c r="A100" s="886"/>
      <c r="B100" s="887"/>
      <c r="C100" s="923" t="s">
        <v>2539</v>
      </c>
      <c r="D100" s="924"/>
      <c r="E100" s="925"/>
      <c r="F100" s="926">
        <f t="shared" si="103"/>
        <v>0</v>
      </c>
      <c r="G100" s="1067"/>
      <c r="H100" s="1067"/>
      <c r="I100" s="1067"/>
      <c r="J100" s="1067"/>
      <c r="K100" s="1067"/>
      <c r="L100" s="1067"/>
      <c r="M100" s="1067"/>
      <c r="N100" s="1067"/>
      <c r="O100" s="1067"/>
      <c r="P100" s="1067"/>
      <c r="Q100" s="1068"/>
    </row>
    <row r="101" spans="1:17" s="896" customFormat="1" ht="13.5" customHeight="1">
      <c r="A101" s="1069"/>
      <c r="B101" s="1070"/>
      <c r="C101" s="1071" t="s">
        <v>2613</v>
      </c>
      <c r="D101" s="1072"/>
      <c r="E101" s="945"/>
      <c r="F101" s="946">
        <f t="shared" si="103"/>
        <v>25132079</v>
      </c>
      <c r="G101" s="1073">
        <f>+G135</f>
        <v>4210598</v>
      </c>
      <c r="H101" s="1073">
        <f t="shared" ref="H101:Q101" si="109">+H135</f>
        <v>763237</v>
      </c>
      <c r="I101" s="1073">
        <f t="shared" si="109"/>
        <v>79180</v>
      </c>
      <c r="J101" s="1073">
        <f t="shared" ref="J101" si="110">+J135</f>
        <v>4716990</v>
      </c>
      <c r="K101" s="1073">
        <f>+K135</f>
        <v>416603</v>
      </c>
      <c r="L101" s="1073">
        <f t="shared" ref="L101" si="111">+L135</f>
        <v>5032681</v>
      </c>
      <c r="M101" s="1073">
        <f t="shared" si="109"/>
        <v>1487376</v>
      </c>
      <c r="N101" s="1073">
        <f>+N135</f>
        <v>8425414</v>
      </c>
      <c r="O101" s="1073">
        <f t="shared" si="109"/>
        <v>0</v>
      </c>
      <c r="P101" s="1073">
        <f t="shared" si="109"/>
        <v>0</v>
      </c>
      <c r="Q101" s="1074">
        <f t="shared" si="109"/>
        <v>0</v>
      </c>
    </row>
    <row r="102" spans="1:17" s="896" customFormat="1" ht="13.5" customHeight="1">
      <c r="A102" s="886"/>
      <c r="B102" s="924" t="s">
        <v>2614</v>
      </c>
      <c r="C102" s="924"/>
      <c r="D102" s="924"/>
      <c r="E102" s="925"/>
      <c r="F102" s="926">
        <f t="shared" si="103"/>
        <v>93908838</v>
      </c>
      <c r="G102" s="1075">
        <f>G103+G108</f>
        <v>7996115</v>
      </c>
      <c r="H102" s="1075">
        <f t="shared" ref="H102:Q102" si="112">H103+H108</f>
        <v>5155117</v>
      </c>
      <c r="I102" s="1075">
        <f t="shared" si="112"/>
        <v>496339</v>
      </c>
      <c r="J102" s="1075">
        <f t="shared" ref="J102" si="113">J103+J108</f>
        <v>26905514</v>
      </c>
      <c r="K102" s="1075">
        <f>K103+K108</f>
        <v>2515837</v>
      </c>
      <c r="L102" s="1075">
        <f t="shared" ref="L102" si="114">L103+L108</f>
        <v>10584039</v>
      </c>
      <c r="M102" s="1075">
        <f t="shared" si="112"/>
        <v>6433066</v>
      </c>
      <c r="N102" s="1075">
        <f>N103+N108</f>
        <v>33822811</v>
      </c>
      <c r="O102" s="1075">
        <f t="shared" si="112"/>
        <v>0</v>
      </c>
      <c r="P102" s="1075">
        <f t="shared" si="112"/>
        <v>0</v>
      </c>
      <c r="Q102" s="1076">
        <f t="shared" si="112"/>
        <v>0</v>
      </c>
    </row>
    <row r="103" spans="1:17" s="896" customFormat="1" ht="13.5" customHeight="1">
      <c r="A103" s="886"/>
      <c r="B103" s="887"/>
      <c r="C103" s="694" t="s">
        <v>2615</v>
      </c>
      <c r="D103" s="694"/>
      <c r="E103" s="882"/>
      <c r="F103" s="907">
        <f t="shared" si="103"/>
        <v>43436477</v>
      </c>
      <c r="G103" s="1077">
        <f>G104+G107</f>
        <v>3667017</v>
      </c>
      <c r="H103" s="1077">
        <f t="shared" ref="H103:Q103" si="115">H104+H107</f>
        <v>2282113</v>
      </c>
      <c r="I103" s="1077">
        <f t="shared" si="115"/>
        <v>221648</v>
      </c>
      <c r="J103" s="1077">
        <f t="shared" ref="J103" si="116">J104+J107</f>
        <v>12806355</v>
      </c>
      <c r="K103" s="1077">
        <f>K104+K107</f>
        <v>1185589</v>
      </c>
      <c r="L103" s="1077">
        <f t="shared" ref="L103" si="117">L104+L107</f>
        <v>4792956</v>
      </c>
      <c r="M103" s="1077">
        <f t="shared" si="115"/>
        <v>2736856</v>
      </c>
      <c r="N103" s="1077">
        <f>N104+N107</f>
        <v>15743943</v>
      </c>
      <c r="O103" s="1077">
        <f t="shared" si="115"/>
        <v>0</v>
      </c>
      <c r="P103" s="1077">
        <f t="shared" si="115"/>
        <v>0</v>
      </c>
      <c r="Q103" s="1078">
        <f t="shared" si="115"/>
        <v>0</v>
      </c>
    </row>
    <row r="104" spans="1:17" s="896" customFormat="1" ht="13.5" customHeight="1">
      <c r="A104" s="886"/>
      <c r="B104" s="887"/>
      <c r="C104" s="1079" t="s">
        <v>2616</v>
      </c>
      <c r="D104" s="1079"/>
      <c r="E104" s="891"/>
      <c r="F104" s="911">
        <f t="shared" si="103"/>
        <v>0</v>
      </c>
      <c r="G104" s="1080">
        <f>SUM(G105:G106)-G107</f>
        <v>0</v>
      </c>
      <c r="H104" s="1080">
        <f t="shared" ref="H104:Q104" si="118">SUM(H105:H106)-H107</f>
        <v>0</v>
      </c>
      <c r="I104" s="1080">
        <f t="shared" si="118"/>
        <v>0</v>
      </c>
      <c r="J104" s="1080">
        <f t="shared" ref="J104" si="119">SUM(J105:J106)-J107</f>
        <v>0</v>
      </c>
      <c r="K104" s="1080">
        <f>SUM(K105:K106)-K107</f>
        <v>0</v>
      </c>
      <c r="L104" s="1080">
        <f t="shared" ref="L104" si="120">SUM(L105:L106)-L107</f>
        <v>0</v>
      </c>
      <c r="M104" s="1080">
        <f t="shared" si="118"/>
        <v>0</v>
      </c>
      <c r="N104" s="1080">
        <f>SUM(N105:N106)-N107</f>
        <v>0</v>
      </c>
      <c r="O104" s="1080">
        <f t="shared" si="118"/>
        <v>0</v>
      </c>
      <c r="P104" s="1080">
        <f t="shared" si="118"/>
        <v>0</v>
      </c>
      <c r="Q104" s="1081">
        <f t="shared" si="118"/>
        <v>0</v>
      </c>
    </row>
    <row r="105" spans="1:17" s="896" customFormat="1" ht="13.5" customHeight="1">
      <c r="A105" s="886"/>
      <c r="B105" s="887"/>
      <c r="C105" s="1082" t="s">
        <v>2617</v>
      </c>
      <c r="D105" s="1082"/>
      <c r="E105" s="910"/>
      <c r="F105" s="911">
        <f t="shared" si="103"/>
        <v>0</v>
      </c>
      <c r="G105" s="912">
        <f>SUM(G200:G202)+G198</f>
        <v>0</v>
      </c>
      <c r="H105" s="912">
        <f t="shared" ref="H105:Q105" si="121">SUM(H200:H202)+H198</f>
        <v>0</v>
      </c>
      <c r="I105" s="912">
        <f t="shared" si="121"/>
        <v>0</v>
      </c>
      <c r="J105" s="912">
        <f t="shared" ref="J105" si="122">SUM(J200:J202)+J198</f>
        <v>0</v>
      </c>
      <c r="K105" s="912">
        <f>SUM(K200:K202)+K198</f>
        <v>0</v>
      </c>
      <c r="L105" s="912">
        <f t="shared" ref="L105" si="123">SUM(L200:L202)+L198</f>
        <v>0</v>
      </c>
      <c r="M105" s="912">
        <f t="shared" si="121"/>
        <v>0</v>
      </c>
      <c r="N105" s="912">
        <f>SUM(N200:N202)+N198</f>
        <v>0</v>
      </c>
      <c r="O105" s="912">
        <f t="shared" si="121"/>
        <v>0</v>
      </c>
      <c r="P105" s="912">
        <f t="shared" si="121"/>
        <v>0</v>
      </c>
      <c r="Q105" s="913">
        <f t="shared" si="121"/>
        <v>0</v>
      </c>
    </row>
    <row r="106" spans="1:17" s="896" customFormat="1" ht="13.5" customHeight="1">
      <c r="A106" s="886"/>
      <c r="B106" s="887"/>
      <c r="C106" s="1082" t="s">
        <v>2618</v>
      </c>
      <c r="D106" s="1082"/>
      <c r="E106" s="910"/>
      <c r="F106" s="911">
        <f t="shared" si="103"/>
        <v>43436477</v>
      </c>
      <c r="G106" s="912">
        <f>SUM(G203:G214)</f>
        <v>3667017</v>
      </c>
      <c r="H106" s="912">
        <f t="shared" ref="H106:Q106" si="124">SUM(H203:H214)</f>
        <v>2282113</v>
      </c>
      <c r="I106" s="912">
        <f t="shared" si="124"/>
        <v>221648</v>
      </c>
      <c r="J106" s="912">
        <f>SUM(J203:J214)</f>
        <v>12806355</v>
      </c>
      <c r="K106" s="912">
        <f>SUM(K203:K214)</f>
        <v>1185589</v>
      </c>
      <c r="L106" s="912">
        <f t="shared" ref="L106" si="125">SUM(L203:L214)</f>
        <v>4792956</v>
      </c>
      <c r="M106" s="912">
        <f>SUM(M203:M214)</f>
        <v>2736856</v>
      </c>
      <c r="N106" s="912">
        <f>SUM(N203:N214)</f>
        <v>15743943</v>
      </c>
      <c r="O106" s="912">
        <f t="shared" si="124"/>
        <v>0</v>
      </c>
      <c r="P106" s="912">
        <f t="shared" si="124"/>
        <v>0</v>
      </c>
      <c r="Q106" s="913">
        <f t="shared" si="124"/>
        <v>0</v>
      </c>
    </row>
    <row r="107" spans="1:17" s="896" customFormat="1" ht="13.5" customHeight="1">
      <c r="A107" s="886"/>
      <c r="B107" s="887"/>
      <c r="C107" s="1082" t="s">
        <v>2619</v>
      </c>
      <c r="D107" s="1082"/>
      <c r="E107" s="910"/>
      <c r="F107" s="911">
        <f t="shared" si="103"/>
        <v>43436477</v>
      </c>
      <c r="G107" s="912">
        <f>+G212</f>
        <v>3667017</v>
      </c>
      <c r="H107" s="912">
        <f t="shared" ref="H107:Q107" si="126">+H212</f>
        <v>2282113</v>
      </c>
      <c r="I107" s="912">
        <f t="shared" si="126"/>
        <v>221648</v>
      </c>
      <c r="J107" s="912">
        <f t="shared" ref="J107" si="127">+J212</f>
        <v>12806355</v>
      </c>
      <c r="K107" s="912">
        <f>+K212</f>
        <v>1185589</v>
      </c>
      <c r="L107" s="912">
        <f t="shared" ref="L107" si="128">+L212</f>
        <v>4792956</v>
      </c>
      <c r="M107" s="912">
        <f t="shared" si="126"/>
        <v>2736856</v>
      </c>
      <c r="N107" s="912">
        <f>+N212</f>
        <v>15743943</v>
      </c>
      <c r="O107" s="912">
        <f t="shared" si="126"/>
        <v>0</v>
      </c>
      <c r="P107" s="912">
        <f t="shared" si="126"/>
        <v>0</v>
      </c>
      <c r="Q107" s="913">
        <f t="shared" si="126"/>
        <v>0</v>
      </c>
    </row>
    <row r="108" spans="1:17" s="896" customFormat="1" ht="13.5" customHeight="1">
      <c r="A108" s="886"/>
      <c r="B108" s="887"/>
      <c r="C108" s="701" t="s">
        <v>2620</v>
      </c>
      <c r="D108" s="701"/>
      <c r="E108" s="910"/>
      <c r="F108" s="911">
        <f t="shared" si="103"/>
        <v>50472361</v>
      </c>
      <c r="G108" s="912">
        <f>SUM(G109:G112)</f>
        <v>4329098</v>
      </c>
      <c r="H108" s="912">
        <f t="shared" ref="H108:Q108" si="129">SUM(H109:H112)</f>
        <v>2873004</v>
      </c>
      <c r="I108" s="912">
        <f t="shared" si="129"/>
        <v>274691</v>
      </c>
      <c r="J108" s="912">
        <f t="shared" ref="J108:L108" si="130">SUM(J109:J112)</f>
        <v>14099159</v>
      </c>
      <c r="K108" s="912">
        <f t="shared" si="130"/>
        <v>1330248</v>
      </c>
      <c r="L108" s="912">
        <f t="shared" si="130"/>
        <v>5791083</v>
      </c>
      <c r="M108" s="912">
        <f t="shared" si="129"/>
        <v>3696210</v>
      </c>
      <c r="N108" s="912">
        <f t="shared" si="129"/>
        <v>18078868</v>
      </c>
      <c r="O108" s="912">
        <f t="shared" si="129"/>
        <v>0</v>
      </c>
      <c r="P108" s="912">
        <f t="shared" si="129"/>
        <v>0</v>
      </c>
      <c r="Q108" s="913">
        <f t="shared" si="129"/>
        <v>0</v>
      </c>
    </row>
    <row r="109" spans="1:17" s="896" customFormat="1" ht="13.5" customHeight="1">
      <c r="A109" s="886"/>
      <c r="B109" s="887"/>
      <c r="C109" s="1082" t="s">
        <v>2617</v>
      </c>
      <c r="D109" s="1082"/>
      <c r="E109" s="910"/>
      <c r="F109" s="1083">
        <f t="shared" si="103"/>
        <v>47900607</v>
      </c>
      <c r="G109" s="912">
        <f>IF(G237=0,0,+G237-G254)</f>
        <v>4108394</v>
      </c>
      <c r="H109" s="912">
        <f t="shared" ref="H109:Q109" si="131">IF(H237=0,0,+H237-H254)</f>
        <v>2726628</v>
      </c>
      <c r="I109" s="912">
        <f t="shared" si="131"/>
        <v>260689</v>
      </c>
      <c r="J109" s="912">
        <f t="shared" ref="J109:L109" si="132">IF(J237=0,0,+J237-J254)</f>
        <v>13380781</v>
      </c>
      <c r="K109" s="912">
        <f t="shared" si="132"/>
        <v>1262456</v>
      </c>
      <c r="L109" s="912">
        <f t="shared" si="132"/>
        <v>5496029</v>
      </c>
      <c r="M109" s="912">
        <f t="shared" si="131"/>
        <v>3507888</v>
      </c>
      <c r="N109" s="912">
        <f t="shared" si="131"/>
        <v>17157742</v>
      </c>
      <c r="O109" s="912">
        <f t="shared" si="131"/>
        <v>0</v>
      </c>
      <c r="P109" s="912">
        <f t="shared" si="131"/>
        <v>0</v>
      </c>
      <c r="Q109" s="913">
        <f t="shared" si="131"/>
        <v>0</v>
      </c>
    </row>
    <row r="110" spans="1:17" s="896" customFormat="1" ht="13.5" customHeight="1">
      <c r="A110" s="886"/>
      <c r="B110" s="887"/>
      <c r="C110" s="1082" t="s">
        <v>2621</v>
      </c>
      <c r="D110" s="1082"/>
      <c r="E110" s="910"/>
      <c r="F110" s="911">
        <f t="shared" si="103"/>
        <v>2571754</v>
      </c>
      <c r="G110" s="912">
        <f>+G238+G239</f>
        <v>220704</v>
      </c>
      <c r="H110" s="912">
        <f t="shared" ref="H110:Q110" si="133">+H238+H239</f>
        <v>146376</v>
      </c>
      <c r="I110" s="912">
        <f t="shared" si="133"/>
        <v>14002</v>
      </c>
      <c r="J110" s="912">
        <f>+J238+J239</f>
        <v>718378</v>
      </c>
      <c r="K110" s="912">
        <f>+K238+K239</f>
        <v>67792</v>
      </c>
      <c r="L110" s="912">
        <f t="shared" ref="L110" si="134">+L238+L239</f>
        <v>295054</v>
      </c>
      <c r="M110" s="912">
        <f>+M238+M239</f>
        <v>188322</v>
      </c>
      <c r="N110" s="912">
        <f>+N238+N239</f>
        <v>921126</v>
      </c>
      <c r="O110" s="912">
        <f t="shared" si="133"/>
        <v>0</v>
      </c>
      <c r="P110" s="912">
        <f t="shared" si="133"/>
        <v>0</v>
      </c>
      <c r="Q110" s="913">
        <f t="shared" si="133"/>
        <v>0</v>
      </c>
    </row>
    <row r="111" spans="1:17" s="896" customFormat="1" ht="13.5" customHeight="1">
      <c r="A111" s="886"/>
      <c r="B111" s="887"/>
      <c r="C111" s="1082" t="s">
        <v>2622</v>
      </c>
      <c r="D111" s="1082"/>
      <c r="E111" s="910"/>
      <c r="F111" s="911">
        <f t="shared" si="103"/>
        <v>0</v>
      </c>
      <c r="G111" s="912">
        <f>SUM(G240:G244)</f>
        <v>0</v>
      </c>
      <c r="H111" s="912">
        <f t="shared" ref="H111:Q111" si="135">SUM(H240:H244)</f>
        <v>0</v>
      </c>
      <c r="I111" s="912">
        <f t="shared" si="135"/>
        <v>0</v>
      </c>
      <c r="J111" s="912">
        <f>SUM(J240:J244)</f>
        <v>0</v>
      </c>
      <c r="K111" s="912">
        <f>SUM(K240:K244)</f>
        <v>0</v>
      </c>
      <c r="L111" s="912">
        <f t="shared" ref="L111" si="136">SUM(L240:L244)</f>
        <v>0</v>
      </c>
      <c r="M111" s="912">
        <f>SUM(M240:M244)</f>
        <v>0</v>
      </c>
      <c r="N111" s="912">
        <f>SUM(N240:N244)</f>
        <v>0</v>
      </c>
      <c r="O111" s="912">
        <f t="shared" si="135"/>
        <v>0</v>
      </c>
      <c r="P111" s="912">
        <f t="shared" si="135"/>
        <v>0</v>
      </c>
      <c r="Q111" s="913">
        <f t="shared" si="135"/>
        <v>0</v>
      </c>
    </row>
    <row r="112" spans="1:17" s="896" customFormat="1" ht="13.5" customHeight="1">
      <c r="A112" s="886"/>
      <c r="B112" s="887"/>
      <c r="C112" s="924" t="s">
        <v>2623</v>
      </c>
      <c r="D112" s="887"/>
      <c r="E112" s="925"/>
      <c r="F112" s="926">
        <f t="shared" si="103"/>
        <v>0</v>
      </c>
      <c r="G112" s="1075">
        <f>IF(G245=0,0,+G245-G254)</f>
        <v>0</v>
      </c>
      <c r="H112" s="1075">
        <f t="shared" ref="H112:Q112" si="137">IF(H245=0,0,+H245-H254)</f>
        <v>0</v>
      </c>
      <c r="I112" s="1075">
        <f t="shared" si="137"/>
        <v>0</v>
      </c>
      <c r="J112" s="1075">
        <f t="shared" ref="J112:L112" si="138">IF(J245=0,0,+J245-J254)</f>
        <v>0</v>
      </c>
      <c r="K112" s="1075">
        <f t="shared" si="138"/>
        <v>0</v>
      </c>
      <c r="L112" s="1075">
        <f t="shared" si="138"/>
        <v>0</v>
      </c>
      <c r="M112" s="1075">
        <f t="shared" si="137"/>
        <v>0</v>
      </c>
      <c r="N112" s="1075">
        <f t="shared" si="137"/>
        <v>0</v>
      </c>
      <c r="O112" s="1075">
        <f t="shared" si="137"/>
        <v>0</v>
      </c>
      <c r="P112" s="1075">
        <f t="shared" si="137"/>
        <v>0</v>
      </c>
      <c r="Q112" s="1076">
        <f t="shared" si="137"/>
        <v>0</v>
      </c>
    </row>
    <row r="113" spans="1:17" s="896" customFormat="1" ht="13.5" customHeight="1">
      <c r="A113" s="1084"/>
      <c r="B113" s="902" t="s">
        <v>2624</v>
      </c>
      <c r="C113" s="902"/>
      <c r="D113" s="902"/>
      <c r="E113" s="1085"/>
      <c r="F113" s="904">
        <f t="shared" si="103"/>
        <v>482700000</v>
      </c>
      <c r="G113" s="905">
        <f>G91+G102</f>
        <v>41422000</v>
      </c>
      <c r="H113" s="905">
        <f t="shared" ref="H113:Q113" si="139">H91+H102</f>
        <v>27474000</v>
      </c>
      <c r="I113" s="905">
        <f t="shared" si="139"/>
        <v>2628000</v>
      </c>
      <c r="J113" s="905">
        <f t="shared" ref="J113" si="140">J91+J102</f>
        <v>134835000</v>
      </c>
      <c r="K113" s="905">
        <f>K91+K102</f>
        <v>12724000</v>
      </c>
      <c r="L113" s="905">
        <f t="shared" ref="L113" si="141">L91+L102</f>
        <v>55380000</v>
      </c>
      <c r="M113" s="905">
        <f t="shared" si="139"/>
        <v>35347000</v>
      </c>
      <c r="N113" s="905">
        <f>N91+N102</f>
        <v>172890000</v>
      </c>
      <c r="O113" s="905">
        <f t="shared" si="139"/>
        <v>0</v>
      </c>
      <c r="P113" s="905">
        <f t="shared" si="139"/>
        <v>0</v>
      </c>
      <c r="Q113" s="906">
        <f t="shared" si="139"/>
        <v>0</v>
      </c>
    </row>
    <row r="114" spans="1:17" s="896" customFormat="1" ht="15" customHeight="1">
      <c r="A114" s="1086"/>
      <c r="B114" s="887"/>
      <c r="C114" s="1087" t="s">
        <v>2625</v>
      </c>
      <c r="D114" s="1087"/>
      <c r="E114" s="1088"/>
      <c r="F114" s="1042"/>
      <c r="G114" s="1089" t="s">
        <v>2626</v>
      </c>
      <c r="H114" s="1090"/>
      <c r="I114" s="1046"/>
      <c r="J114" s="1046"/>
      <c r="K114" s="1046"/>
      <c r="L114" s="1046"/>
      <c r="M114" s="1046"/>
      <c r="N114" s="1046"/>
      <c r="O114" s="1046"/>
      <c r="P114" s="1046"/>
      <c r="Q114" s="1046"/>
    </row>
    <row r="115" spans="1:17" s="896" customFormat="1" ht="15" customHeight="1">
      <c r="A115" s="877"/>
      <c r="B115" s="878"/>
      <c r="C115" s="878"/>
      <c r="D115" s="878"/>
      <c r="E115" s="1091"/>
      <c r="F115" s="1092" t="s">
        <v>2517</v>
      </c>
      <c r="G115" s="1093" t="str">
        <f t="shared" ref="G115:Q115" si="142">+G86</f>
        <v>工事1</v>
      </c>
      <c r="H115" s="1093" t="str">
        <f t="shared" si="142"/>
        <v>工事2</v>
      </c>
      <c r="I115" s="1093" t="str">
        <f t="shared" si="142"/>
        <v>工事3</v>
      </c>
      <c r="J115" s="1093" t="str">
        <f t="shared" ref="J115:L115" si="143">+J86</f>
        <v>工事4</v>
      </c>
      <c r="K115" s="1093" t="str">
        <f t="shared" si="143"/>
        <v>工事5</v>
      </c>
      <c r="L115" s="1093" t="str">
        <f t="shared" si="143"/>
        <v>工事6</v>
      </c>
      <c r="M115" s="1093" t="str">
        <f t="shared" si="142"/>
        <v>工事7</v>
      </c>
      <c r="N115" s="1093" t="str">
        <f t="shared" si="142"/>
        <v>工事8</v>
      </c>
      <c r="O115" s="1093">
        <f t="shared" si="142"/>
        <v>0</v>
      </c>
      <c r="P115" s="1093">
        <f t="shared" si="142"/>
        <v>0</v>
      </c>
      <c r="Q115" s="1094">
        <f t="shared" si="142"/>
        <v>0</v>
      </c>
    </row>
    <row r="116" spans="1:17" s="896" customFormat="1" ht="15" customHeight="1">
      <c r="A116" s="929" t="s">
        <v>2540</v>
      </c>
      <c r="B116" s="930"/>
      <c r="C116" s="931"/>
      <c r="D116" s="931"/>
      <c r="E116" s="932"/>
      <c r="F116" s="933"/>
      <c r="G116" s="934"/>
      <c r="H116" s="934"/>
      <c r="I116" s="934"/>
      <c r="J116" s="934"/>
      <c r="K116" s="934"/>
      <c r="L116" s="934"/>
      <c r="M116" s="934"/>
      <c r="N116" s="934"/>
      <c r="O116" s="934"/>
      <c r="P116" s="934"/>
      <c r="Q116" s="935"/>
    </row>
    <row r="117" spans="1:17" s="896" customFormat="1" ht="15" customHeight="1">
      <c r="A117" s="2602"/>
      <c r="B117" s="2604" t="s">
        <v>2541</v>
      </c>
      <c r="C117" s="695" t="s">
        <v>2542</v>
      </c>
      <c r="D117" s="695"/>
      <c r="E117" s="882"/>
      <c r="F117" s="907">
        <f t="shared" ref="F117:F123" si="144">SUM(G117:Q117)</f>
        <v>0</v>
      </c>
      <c r="G117" s="1077">
        <f t="shared" ref="G117:Q117" si="145">IF(G85="新営",G92-SUM(G119:G130)-G134-G133,0)</f>
        <v>0</v>
      </c>
      <c r="H117" s="1077">
        <f t="shared" si="145"/>
        <v>0</v>
      </c>
      <c r="I117" s="1077">
        <f t="shared" si="145"/>
        <v>0</v>
      </c>
      <c r="J117" s="1077">
        <f t="shared" ref="J117:L117" si="146">IF(J85="新営",J92-SUM(J119:J130)-J134-J133,0)</f>
        <v>0</v>
      </c>
      <c r="K117" s="1077">
        <f t="shared" si="146"/>
        <v>0</v>
      </c>
      <c r="L117" s="1077">
        <f t="shared" si="146"/>
        <v>0</v>
      </c>
      <c r="M117" s="1077">
        <f t="shared" si="145"/>
        <v>0</v>
      </c>
      <c r="N117" s="1077">
        <f t="shared" si="145"/>
        <v>0</v>
      </c>
      <c r="O117" s="1077">
        <f t="shared" si="145"/>
        <v>0</v>
      </c>
      <c r="P117" s="1077">
        <f t="shared" si="145"/>
        <v>0</v>
      </c>
      <c r="Q117" s="1077">
        <f t="shared" si="145"/>
        <v>0</v>
      </c>
    </row>
    <row r="118" spans="1:17" s="896" customFormat="1" ht="14.25" customHeight="1">
      <c r="A118" s="2602"/>
      <c r="B118" s="2605"/>
      <c r="C118" s="702" t="s">
        <v>2543</v>
      </c>
      <c r="D118" s="702"/>
      <c r="E118" s="910"/>
      <c r="F118" s="911">
        <f t="shared" si="144"/>
        <v>0</v>
      </c>
      <c r="G118" s="912">
        <f t="shared" ref="G118:Q118" si="147">IF(G85="改修",G92-SUM(G119:G130)-G134-G133,0)</f>
        <v>0</v>
      </c>
      <c r="H118" s="912">
        <f t="shared" si="147"/>
        <v>0</v>
      </c>
      <c r="I118" s="912">
        <f t="shared" si="147"/>
        <v>0</v>
      </c>
      <c r="J118" s="912">
        <f t="shared" ref="J118:L118" si="148">IF(J85="改修",J92-SUM(J119:J130)-J134-J133,0)</f>
        <v>0</v>
      </c>
      <c r="K118" s="912">
        <f t="shared" si="148"/>
        <v>0</v>
      </c>
      <c r="L118" s="912">
        <f t="shared" si="148"/>
        <v>0</v>
      </c>
      <c r="M118" s="912">
        <f t="shared" si="147"/>
        <v>0</v>
      </c>
      <c r="N118" s="912">
        <f t="shared" si="147"/>
        <v>0</v>
      </c>
      <c r="O118" s="912">
        <f t="shared" si="147"/>
        <v>0</v>
      </c>
      <c r="P118" s="912">
        <f t="shared" si="147"/>
        <v>0</v>
      </c>
      <c r="Q118" s="912">
        <f t="shared" si="147"/>
        <v>0</v>
      </c>
    </row>
    <row r="119" spans="1:17" s="896" customFormat="1" ht="15" customHeight="1">
      <c r="A119" s="2602"/>
      <c r="B119" s="2605"/>
      <c r="C119" s="936" t="s">
        <v>2627</v>
      </c>
      <c r="D119" s="702"/>
      <c r="E119" s="910"/>
      <c r="F119" s="911">
        <f t="shared" si="144"/>
        <v>0</v>
      </c>
      <c r="G119" s="1065"/>
      <c r="H119" s="1065"/>
      <c r="I119" s="1065"/>
      <c r="J119" s="1065"/>
      <c r="K119" s="1065"/>
      <c r="L119" s="1065"/>
      <c r="M119" s="1065"/>
      <c r="N119" s="1065"/>
      <c r="O119" s="1065"/>
      <c r="P119" s="1065"/>
      <c r="Q119" s="1066"/>
    </row>
    <row r="120" spans="1:17" s="896" customFormat="1" ht="15" customHeight="1">
      <c r="A120" s="2602"/>
      <c r="B120" s="2606"/>
      <c r="C120" s="936" t="s">
        <v>2545</v>
      </c>
      <c r="D120" s="702"/>
      <c r="E120" s="910"/>
      <c r="F120" s="911">
        <f t="shared" si="144"/>
        <v>0</v>
      </c>
      <c r="G120" s="1065"/>
      <c r="H120" s="1065"/>
      <c r="I120" s="1065"/>
      <c r="J120" s="1065"/>
      <c r="K120" s="1065"/>
      <c r="L120" s="1065"/>
      <c r="M120" s="1065"/>
      <c r="N120" s="1065"/>
      <c r="O120" s="1065"/>
      <c r="P120" s="1065"/>
      <c r="Q120" s="1066"/>
    </row>
    <row r="121" spans="1:17" s="896" customFormat="1" ht="15" customHeight="1">
      <c r="A121" s="2602"/>
      <c r="B121" s="2607" t="s">
        <v>2546</v>
      </c>
      <c r="C121" s="701" t="s">
        <v>2628</v>
      </c>
      <c r="D121" s="702"/>
      <c r="E121" s="910"/>
      <c r="F121" s="911">
        <f t="shared" si="144"/>
        <v>0</v>
      </c>
      <c r="G121" s="1065"/>
      <c r="H121" s="1065"/>
      <c r="I121" s="1065"/>
      <c r="J121" s="1065"/>
      <c r="K121" s="1065"/>
      <c r="L121" s="1065"/>
      <c r="M121" s="1065"/>
      <c r="N121" s="1065"/>
      <c r="O121" s="1065"/>
      <c r="P121" s="1065"/>
      <c r="Q121" s="1066"/>
    </row>
    <row r="122" spans="1:17" s="896" customFormat="1" ht="15" customHeight="1">
      <c r="A122" s="2602"/>
      <c r="B122" s="2605"/>
      <c r="C122" s="701" t="s">
        <v>2548</v>
      </c>
      <c r="D122" s="702"/>
      <c r="E122" s="910"/>
      <c r="F122" s="911">
        <f t="shared" si="144"/>
        <v>0</v>
      </c>
      <c r="G122" s="1065"/>
      <c r="H122" s="1065"/>
      <c r="I122" s="1065"/>
      <c r="J122" s="1065"/>
      <c r="K122" s="1065"/>
      <c r="L122" s="1065"/>
      <c r="M122" s="1065"/>
      <c r="N122" s="1065"/>
      <c r="O122" s="1065"/>
      <c r="P122" s="1065"/>
      <c r="Q122" s="1066"/>
    </row>
    <row r="123" spans="1:17" s="896" customFormat="1" ht="15" customHeight="1">
      <c r="A123" s="2602"/>
      <c r="B123" s="2605"/>
      <c r="C123" s="702" t="s">
        <v>2549</v>
      </c>
      <c r="D123" s="702"/>
      <c r="E123" s="910"/>
      <c r="F123" s="911">
        <f t="shared" si="144"/>
        <v>0</v>
      </c>
      <c r="G123" s="1065"/>
      <c r="H123" s="1065"/>
      <c r="I123" s="1065"/>
      <c r="J123" s="1065"/>
      <c r="K123" s="1065"/>
      <c r="L123" s="1065"/>
      <c r="M123" s="1065"/>
      <c r="N123" s="1065"/>
      <c r="O123" s="1065"/>
      <c r="P123" s="1065"/>
      <c r="Q123" s="1066"/>
    </row>
    <row r="124" spans="1:17" s="896" customFormat="1" ht="15" customHeight="1">
      <c r="A124" s="2602"/>
      <c r="B124" s="2605"/>
      <c r="C124" s="702" t="s">
        <v>2629</v>
      </c>
      <c r="D124" s="702"/>
      <c r="E124" s="910"/>
      <c r="F124" s="911"/>
      <c r="G124" s="912"/>
      <c r="H124" s="912"/>
      <c r="I124" s="912"/>
      <c r="J124" s="912"/>
      <c r="K124" s="912"/>
      <c r="L124" s="912"/>
      <c r="M124" s="912"/>
      <c r="N124" s="912"/>
      <c r="O124" s="912"/>
      <c r="P124" s="912"/>
      <c r="Q124" s="913"/>
    </row>
    <row r="125" spans="1:17" s="896" customFormat="1" ht="15" customHeight="1">
      <c r="A125" s="2602"/>
      <c r="B125" s="2605"/>
      <c r="C125" s="702" t="s">
        <v>2551</v>
      </c>
      <c r="D125" s="702"/>
      <c r="E125" s="910"/>
      <c r="F125" s="911"/>
      <c r="G125" s="912"/>
      <c r="H125" s="912"/>
      <c r="I125" s="912"/>
      <c r="J125" s="912"/>
      <c r="K125" s="912"/>
      <c r="L125" s="912"/>
      <c r="M125" s="912"/>
      <c r="N125" s="912"/>
      <c r="O125" s="912"/>
      <c r="P125" s="912"/>
      <c r="Q125" s="913"/>
    </row>
    <row r="126" spans="1:17" s="896" customFormat="1" ht="15" customHeight="1">
      <c r="A126" s="2602"/>
      <c r="B126" s="2605"/>
      <c r="C126" s="702" t="s">
        <v>2552</v>
      </c>
      <c r="D126" s="702"/>
      <c r="E126" s="910"/>
      <c r="F126" s="911">
        <f t="shared" ref="F126:F136" si="149">SUM(G126:Q126)</f>
        <v>0</v>
      </c>
      <c r="G126" s="1065"/>
      <c r="H126" s="1065"/>
      <c r="I126" s="1065"/>
      <c r="J126" s="1065"/>
      <c r="K126" s="1065"/>
      <c r="L126" s="1065"/>
      <c r="M126" s="1065"/>
      <c r="N126" s="1065"/>
      <c r="O126" s="1065"/>
      <c r="P126" s="1065"/>
      <c r="Q126" s="1066"/>
    </row>
    <row r="127" spans="1:17" s="896" customFormat="1" ht="15" customHeight="1">
      <c r="A127" s="2602"/>
      <c r="B127" s="2605"/>
      <c r="C127" s="937" t="s">
        <v>2630</v>
      </c>
      <c r="D127" s="702"/>
      <c r="E127" s="910"/>
      <c r="F127" s="911">
        <f t="shared" si="149"/>
        <v>0</v>
      </c>
      <c r="G127" s="1065"/>
      <c r="H127" s="1065"/>
      <c r="I127" s="1065"/>
      <c r="J127" s="1065"/>
      <c r="K127" s="1065"/>
      <c r="L127" s="1065"/>
      <c r="M127" s="1065"/>
      <c r="N127" s="1065"/>
      <c r="O127" s="1065"/>
      <c r="P127" s="1065"/>
      <c r="Q127" s="1066"/>
    </row>
    <row r="128" spans="1:17" s="896" customFormat="1" ht="15" customHeight="1">
      <c r="A128" s="2602"/>
      <c r="B128" s="2605"/>
      <c r="C128" s="938" t="s">
        <v>2631</v>
      </c>
      <c r="D128" s="702"/>
      <c r="E128" s="910"/>
      <c r="F128" s="911">
        <f t="shared" si="149"/>
        <v>0</v>
      </c>
      <c r="G128" s="1065"/>
      <c r="H128" s="1065"/>
      <c r="I128" s="1065"/>
      <c r="J128" s="1065"/>
      <c r="K128" s="1065"/>
      <c r="L128" s="1065"/>
      <c r="M128" s="1065"/>
      <c r="N128" s="1065"/>
      <c r="O128" s="1065"/>
      <c r="P128" s="1065"/>
      <c r="Q128" s="1066"/>
    </row>
    <row r="129" spans="1:17" s="896" customFormat="1" ht="15" customHeight="1">
      <c r="A129" s="2602"/>
      <c r="B129" s="2606"/>
      <c r="C129" s="702" t="s">
        <v>2555</v>
      </c>
      <c r="D129" s="702"/>
      <c r="E129" s="910"/>
      <c r="F129" s="911">
        <f t="shared" si="149"/>
        <v>0</v>
      </c>
      <c r="G129" s="1065"/>
      <c r="H129" s="1065"/>
      <c r="I129" s="1065"/>
      <c r="J129" s="1065"/>
      <c r="K129" s="1065"/>
      <c r="L129" s="1065"/>
      <c r="M129" s="1065"/>
      <c r="N129" s="1065"/>
      <c r="O129" s="1065"/>
      <c r="P129" s="1065"/>
      <c r="Q129" s="1066"/>
    </row>
    <row r="130" spans="1:17" s="896" customFormat="1" ht="15" customHeight="1">
      <c r="A130" s="2602"/>
      <c r="B130" s="2607" t="s">
        <v>2556</v>
      </c>
      <c r="C130" s="936" t="s">
        <v>2557</v>
      </c>
      <c r="D130" s="702"/>
      <c r="E130" s="910"/>
      <c r="F130" s="911">
        <f t="shared" si="149"/>
        <v>0</v>
      </c>
      <c r="G130" s="1065"/>
      <c r="H130" s="1065"/>
      <c r="I130" s="1065"/>
      <c r="J130" s="1065"/>
      <c r="K130" s="1065"/>
      <c r="L130" s="1065"/>
      <c r="M130" s="1065"/>
      <c r="N130" s="1065"/>
      <c r="O130" s="1065"/>
      <c r="P130" s="1065"/>
      <c r="Q130" s="1066"/>
    </row>
    <row r="131" spans="1:17" s="896" customFormat="1" ht="15" customHeight="1">
      <c r="A131" s="2602"/>
      <c r="B131" s="2605"/>
      <c r="C131" s="936" t="s">
        <v>2558</v>
      </c>
      <c r="D131" s="702"/>
      <c r="E131" s="910"/>
      <c r="F131" s="911">
        <f t="shared" si="149"/>
        <v>0</v>
      </c>
      <c r="G131" s="912">
        <f t="shared" ref="G131:Q131" si="150">+G100</f>
        <v>0</v>
      </c>
      <c r="H131" s="912">
        <f t="shared" si="150"/>
        <v>0</v>
      </c>
      <c r="I131" s="912">
        <f t="shared" si="150"/>
        <v>0</v>
      </c>
      <c r="J131" s="912">
        <f>+J100</f>
        <v>0</v>
      </c>
      <c r="K131" s="912">
        <f>+K100</f>
        <v>0</v>
      </c>
      <c r="L131" s="912">
        <f t="shared" ref="L131" si="151">+L100</f>
        <v>0</v>
      </c>
      <c r="M131" s="912">
        <f>+M100</f>
        <v>0</v>
      </c>
      <c r="N131" s="912">
        <f>+N100</f>
        <v>0</v>
      </c>
      <c r="O131" s="912">
        <f t="shared" si="150"/>
        <v>0</v>
      </c>
      <c r="P131" s="912">
        <f t="shared" si="150"/>
        <v>0</v>
      </c>
      <c r="Q131" s="913">
        <f t="shared" si="150"/>
        <v>0</v>
      </c>
    </row>
    <row r="132" spans="1:17" s="896" customFormat="1" ht="15" customHeight="1">
      <c r="A132" s="2602"/>
      <c r="B132" s="2605"/>
      <c r="C132" s="702" t="s">
        <v>2559</v>
      </c>
      <c r="D132" s="702"/>
      <c r="E132" s="910"/>
      <c r="F132" s="911">
        <f t="shared" si="149"/>
        <v>0</v>
      </c>
      <c r="G132" s="912">
        <f>+G99</f>
        <v>0</v>
      </c>
      <c r="H132" s="912">
        <f t="shared" ref="H132:Q132" si="152">+H99</f>
        <v>0</v>
      </c>
      <c r="I132" s="912">
        <f t="shared" si="152"/>
        <v>0</v>
      </c>
      <c r="J132" s="912">
        <f>+J99</f>
        <v>0</v>
      </c>
      <c r="K132" s="912">
        <f>+K99</f>
        <v>0</v>
      </c>
      <c r="L132" s="912">
        <f t="shared" ref="L132" si="153">+L99</f>
        <v>0</v>
      </c>
      <c r="M132" s="912">
        <f>+M99</f>
        <v>0</v>
      </c>
      <c r="N132" s="912">
        <f>+N99</f>
        <v>0</v>
      </c>
      <c r="O132" s="912">
        <f t="shared" si="152"/>
        <v>0</v>
      </c>
      <c r="P132" s="912">
        <f t="shared" si="152"/>
        <v>0</v>
      </c>
      <c r="Q132" s="913">
        <f t="shared" si="152"/>
        <v>0</v>
      </c>
    </row>
    <row r="133" spans="1:17" s="896" customFormat="1" ht="15" customHeight="1">
      <c r="A133" s="2602"/>
      <c r="B133" s="2605"/>
      <c r="C133" s="702" t="s">
        <v>2560</v>
      </c>
      <c r="D133" s="702"/>
      <c r="E133" s="910"/>
      <c r="F133" s="911">
        <f t="shared" si="149"/>
        <v>0</v>
      </c>
      <c r="G133" s="1065"/>
      <c r="H133" s="1065"/>
      <c r="I133" s="1065"/>
      <c r="J133" s="1065"/>
      <c r="K133" s="1065"/>
      <c r="L133" s="1065"/>
      <c r="M133" s="1065"/>
      <c r="N133" s="1065"/>
      <c r="O133" s="1065"/>
      <c r="P133" s="1065"/>
      <c r="Q133" s="1066"/>
    </row>
    <row r="134" spans="1:17" s="896" customFormat="1" ht="15" customHeight="1">
      <c r="A134" s="2602"/>
      <c r="B134" s="2605"/>
      <c r="C134" s="940" t="s">
        <v>2561</v>
      </c>
      <c r="D134" s="940"/>
      <c r="E134" s="941"/>
      <c r="F134" s="911">
        <f t="shared" si="149"/>
        <v>363659083</v>
      </c>
      <c r="G134" s="1095">
        <v>29215287</v>
      </c>
      <c r="H134" s="1095">
        <v>21555646</v>
      </c>
      <c r="I134" s="1095">
        <v>2052481</v>
      </c>
      <c r="J134" s="1095">
        <v>103212496</v>
      </c>
      <c r="K134" s="1095">
        <v>9791560</v>
      </c>
      <c r="L134" s="1095">
        <v>39763280</v>
      </c>
      <c r="M134" s="1095">
        <v>27426558</v>
      </c>
      <c r="N134" s="1095">
        <v>130641775</v>
      </c>
      <c r="O134" s="1095"/>
      <c r="P134" s="1095"/>
      <c r="Q134" s="1096"/>
    </row>
    <row r="135" spans="1:17" s="896" customFormat="1" ht="15" customHeight="1">
      <c r="A135" s="2602"/>
      <c r="B135" s="2605"/>
      <c r="C135" s="940" t="s">
        <v>2562</v>
      </c>
      <c r="D135" s="940"/>
      <c r="E135" s="941"/>
      <c r="F135" s="911">
        <f t="shared" si="149"/>
        <v>25132079</v>
      </c>
      <c r="G135" s="1095">
        <v>4210598</v>
      </c>
      <c r="H135" s="1095">
        <v>763237</v>
      </c>
      <c r="I135" s="1095">
        <v>79180</v>
      </c>
      <c r="J135" s="1095">
        <v>4716990</v>
      </c>
      <c r="K135" s="1095">
        <v>416603</v>
      </c>
      <c r="L135" s="1095">
        <v>5032681</v>
      </c>
      <c r="M135" s="1095">
        <v>1487376</v>
      </c>
      <c r="N135" s="1095">
        <v>8425414</v>
      </c>
      <c r="O135" s="1095"/>
      <c r="P135" s="1095"/>
      <c r="Q135" s="1096"/>
    </row>
    <row r="136" spans="1:17" s="896" customFormat="1" ht="15" customHeight="1">
      <c r="A136" s="2603"/>
      <c r="B136" s="2608"/>
      <c r="C136" s="944" t="s">
        <v>2563</v>
      </c>
      <c r="D136" s="944"/>
      <c r="E136" s="945"/>
      <c r="F136" s="946">
        <f t="shared" si="149"/>
        <v>0</v>
      </c>
      <c r="G136" s="1097"/>
      <c r="H136" s="1097"/>
      <c r="I136" s="1097"/>
      <c r="J136" s="1097"/>
      <c r="K136" s="1097"/>
      <c r="L136" s="1097"/>
      <c r="M136" s="1097"/>
      <c r="N136" s="1097"/>
      <c r="O136" s="1097"/>
      <c r="P136" s="1097"/>
      <c r="Q136" s="1098"/>
    </row>
    <row r="137" spans="1:17" s="896" customFormat="1" ht="15" hidden="1" customHeight="1">
      <c r="A137" s="887"/>
      <c r="B137" s="887"/>
      <c r="C137" s="1099" t="s">
        <v>2632</v>
      </c>
      <c r="D137" s="1099"/>
      <c r="E137" s="923"/>
      <c r="F137" s="1042"/>
      <c r="G137" s="1046"/>
      <c r="H137" s="1046"/>
      <c r="I137" s="1046"/>
      <c r="J137" s="1046"/>
      <c r="K137" s="1046"/>
      <c r="L137" s="1046"/>
      <c r="M137" s="1046"/>
      <c r="N137" s="1046"/>
      <c r="O137" s="1046"/>
      <c r="P137" s="1046"/>
      <c r="Q137" s="1100" t="s">
        <v>2633</v>
      </c>
    </row>
    <row r="138" spans="1:17" s="896" customFormat="1" ht="15" hidden="1" customHeight="1">
      <c r="A138" s="887"/>
      <c r="B138" s="887"/>
      <c r="C138" s="930" t="s">
        <v>2634</v>
      </c>
      <c r="D138" s="930"/>
      <c r="E138" s="923"/>
      <c r="F138" s="1042"/>
      <c r="G138" s="1046"/>
      <c r="H138" s="1046"/>
      <c r="I138" s="1046"/>
      <c r="J138" s="1046"/>
      <c r="K138" s="1046"/>
      <c r="L138" s="1046"/>
      <c r="M138" s="1046"/>
      <c r="N138" s="1046"/>
      <c r="O138" s="1046"/>
      <c r="P138" s="1046"/>
      <c r="Q138" s="1100"/>
    </row>
    <row r="139" spans="1:17" s="896" customFormat="1" ht="15" hidden="1" customHeight="1">
      <c r="A139" s="877"/>
      <c r="B139" s="878"/>
      <c r="C139" s="878"/>
      <c r="D139" s="2616" t="s">
        <v>2635</v>
      </c>
      <c r="E139" s="2616" t="s">
        <v>2636</v>
      </c>
      <c r="F139" s="1092" t="s">
        <v>2517</v>
      </c>
      <c r="G139" s="1093" t="str">
        <f t="shared" ref="G139:Q139" si="154">+G86</f>
        <v>工事1</v>
      </c>
      <c r="H139" s="1093" t="str">
        <f t="shared" si="154"/>
        <v>工事2</v>
      </c>
      <c r="I139" s="1093" t="str">
        <f t="shared" si="154"/>
        <v>工事3</v>
      </c>
      <c r="J139" s="1093" t="str">
        <f t="shared" ref="J139:L139" si="155">+J86</f>
        <v>工事4</v>
      </c>
      <c r="K139" s="1093" t="str">
        <f t="shared" si="155"/>
        <v>工事5</v>
      </c>
      <c r="L139" s="1093" t="str">
        <f t="shared" si="155"/>
        <v>工事6</v>
      </c>
      <c r="M139" s="1093" t="str">
        <f t="shared" si="154"/>
        <v>工事7</v>
      </c>
      <c r="N139" s="1093" t="str">
        <f t="shared" si="154"/>
        <v>工事8</v>
      </c>
      <c r="O139" s="1093">
        <f t="shared" si="154"/>
        <v>0</v>
      </c>
      <c r="P139" s="1093">
        <f t="shared" si="154"/>
        <v>0</v>
      </c>
      <c r="Q139" s="1094">
        <f t="shared" si="154"/>
        <v>0</v>
      </c>
    </row>
    <row r="140" spans="1:17" s="896" customFormat="1" ht="15" hidden="1" customHeight="1">
      <c r="A140" s="2618" t="s">
        <v>2637</v>
      </c>
      <c r="B140" s="2619"/>
      <c r="C140" s="2620"/>
      <c r="D140" s="2617"/>
      <c r="E140" s="2617"/>
      <c r="F140" s="1101"/>
      <c r="G140" s="1102"/>
      <c r="H140" s="1102"/>
      <c r="I140" s="1102"/>
      <c r="J140" s="1102"/>
      <c r="K140" s="1102"/>
      <c r="L140" s="1102"/>
      <c r="M140" s="1102"/>
      <c r="N140" s="1102"/>
      <c r="O140" s="1102"/>
      <c r="P140" s="1102"/>
      <c r="Q140" s="1103"/>
    </row>
    <row r="141" spans="1:17" s="896" customFormat="1" ht="15" hidden="1" customHeight="1">
      <c r="A141" s="2621"/>
      <c r="B141" s="1104" t="s">
        <v>2638</v>
      </c>
      <c r="C141" s="1105"/>
      <c r="D141" s="1106"/>
      <c r="E141" s="1107"/>
      <c r="F141" s="1108">
        <f t="shared" ref="F141:F148" si="156">SUM(G141:Q141)</f>
        <v>0</v>
      </c>
      <c r="G141" s="1109">
        <f>SUM(G117:G129)+G133</f>
        <v>0</v>
      </c>
      <c r="H141" s="1109">
        <f t="shared" ref="H141:Q141" si="157">SUM(H117:H129)+H133</f>
        <v>0</v>
      </c>
      <c r="I141" s="1109">
        <f t="shared" si="157"/>
        <v>0</v>
      </c>
      <c r="J141" s="1109">
        <f t="shared" ref="J141:L141" si="158">SUM(J117:J129)+J133</f>
        <v>0</v>
      </c>
      <c r="K141" s="1109">
        <f t="shared" si="158"/>
        <v>0</v>
      </c>
      <c r="L141" s="1109">
        <f t="shared" si="158"/>
        <v>0</v>
      </c>
      <c r="M141" s="1109">
        <f t="shared" si="157"/>
        <v>0</v>
      </c>
      <c r="N141" s="1109">
        <f t="shared" si="157"/>
        <v>0</v>
      </c>
      <c r="O141" s="1109">
        <f t="shared" si="157"/>
        <v>0</v>
      </c>
      <c r="P141" s="1109">
        <f t="shared" si="157"/>
        <v>0</v>
      </c>
      <c r="Q141" s="1109">
        <f t="shared" si="157"/>
        <v>0</v>
      </c>
    </row>
    <row r="142" spans="1:17" s="896" customFormat="1" ht="15" hidden="1" customHeight="1">
      <c r="A142" s="2622"/>
      <c r="B142" s="2607" t="s">
        <v>2541</v>
      </c>
      <c r="C142" s="1110" t="s">
        <v>2542</v>
      </c>
      <c r="D142" s="1111">
        <v>1</v>
      </c>
      <c r="E142" s="1112" t="s">
        <v>2639</v>
      </c>
      <c r="F142" s="911">
        <f t="shared" si="156"/>
        <v>0</v>
      </c>
      <c r="G142" s="912">
        <f t="shared" ref="G142:Q142" si="159">IF(G88="積上げ",0,+G117)</f>
        <v>0</v>
      </c>
      <c r="H142" s="912">
        <f t="shared" si="159"/>
        <v>0</v>
      </c>
      <c r="I142" s="912">
        <f t="shared" si="159"/>
        <v>0</v>
      </c>
      <c r="J142" s="912">
        <f t="shared" ref="J142:L142" si="160">IF(J88="積上げ",0,+J117)</f>
        <v>0</v>
      </c>
      <c r="K142" s="912">
        <f t="shared" si="160"/>
        <v>0</v>
      </c>
      <c r="L142" s="912">
        <f t="shared" si="160"/>
        <v>0</v>
      </c>
      <c r="M142" s="912">
        <f t="shared" si="159"/>
        <v>0</v>
      </c>
      <c r="N142" s="912">
        <f t="shared" si="159"/>
        <v>0</v>
      </c>
      <c r="O142" s="912">
        <f t="shared" si="159"/>
        <v>0</v>
      </c>
      <c r="P142" s="912">
        <f t="shared" si="159"/>
        <v>0</v>
      </c>
      <c r="Q142" s="912">
        <f t="shared" si="159"/>
        <v>0</v>
      </c>
    </row>
    <row r="143" spans="1:17" s="896" customFormat="1" ht="15" hidden="1" customHeight="1">
      <c r="A143" s="2622"/>
      <c r="B143" s="2605"/>
      <c r="C143" s="1110" t="s">
        <v>2543</v>
      </c>
      <c r="D143" s="1111">
        <v>1</v>
      </c>
      <c r="E143" s="1112" t="s">
        <v>2639</v>
      </c>
      <c r="F143" s="911">
        <f t="shared" si="156"/>
        <v>0</v>
      </c>
      <c r="G143" s="912">
        <f t="shared" ref="G143:Q143" si="161">IF(G88="積上げ",0,+G118)</f>
        <v>0</v>
      </c>
      <c r="H143" s="912">
        <f t="shared" si="161"/>
        <v>0</v>
      </c>
      <c r="I143" s="912">
        <f t="shared" si="161"/>
        <v>0</v>
      </c>
      <c r="J143" s="912">
        <f t="shared" ref="J143:L143" si="162">IF(J88="積上げ",0,+J118)</f>
        <v>0</v>
      </c>
      <c r="K143" s="912">
        <f t="shared" si="162"/>
        <v>0</v>
      </c>
      <c r="L143" s="912">
        <f t="shared" si="162"/>
        <v>0</v>
      </c>
      <c r="M143" s="912">
        <f t="shared" si="161"/>
        <v>0</v>
      </c>
      <c r="N143" s="912">
        <f t="shared" si="161"/>
        <v>0</v>
      </c>
      <c r="O143" s="912">
        <f t="shared" si="161"/>
        <v>0</v>
      </c>
      <c r="P143" s="912">
        <f t="shared" si="161"/>
        <v>0</v>
      </c>
      <c r="Q143" s="912">
        <f t="shared" si="161"/>
        <v>0</v>
      </c>
    </row>
    <row r="144" spans="1:17" s="896" customFormat="1" ht="15" hidden="1" customHeight="1">
      <c r="A144" s="2622"/>
      <c r="B144" s="2605"/>
      <c r="C144" s="1110" t="s">
        <v>2640</v>
      </c>
      <c r="D144" s="1111">
        <v>0.9</v>
      </c>
      <c r="E144" s="1112" t="s">
        <v>2639</v>
      </c>
      <c r="F144" s="911">
        <f t="shared" si="156"/>
        <v>0</v>
      </c>
      <c r="G144" s="912">
        <f t="shared" ref="G144:Q144" si="163">IF(G88="積上げ",0,+G119)</f>
        <v>0</v>
      </c>
      <c r="H144" s="912">
        <f t="shared" si="163"/>
        <v>0</v>
      </c>
      <c r="I144" s="912">
        <f t="shared" si="163"/>
        <v>0</v>
      </c>
      <c r="J144" s="912">
        <f t="shared" ref="J144:L144" si="164">IF(J88="積上げ",0,+J119)</f>
        <v>0</v>
      </c>
      <c r="K144" s="912">
        <f t="shared" si="164"/>
        <v>0</v>
      </c>
      <c r="L144" s="912">
        <f t="shared" si="164"/>
        <v>0</v>
      </c>
      <c r="M144" s="912">
        <f t="shared" si="163"/>
        <v>0</v>
      </c>
      <c r="N144" s="912">
        <f t="shared" si="163"/>
        <v>0</v>
      </c>
      <c r="O144" s="912">
        <f t="shared" si="163"/>
        <v>0</v>
      </c>
      <c r="P144" s="912">
        <f t="shared" si="163"/>
        <v>0</v>
      </c>
      <c r="Q144" s="912">
        <f t="shared" si="163"/>
        <v>0</v>
      </c>
    </row>
    <row r="145" spans="1:17" s="896" customFormat="1" ht="15" hidden="1" customHeight="1">
      <c r="A145" s="2622"/>
      <c r="B145" s="2606"/>
      <c r="C145" s="1110" t="s">
        <v>2641</v>
      </c>
      <c r="D145" s="1111">
        <v>0.9</v>
      </c>
      <c r="E145" s="1112" t="s">
        <v>2639</v>
      </c>
      <c r="F145" s="911">
        <f t="shared" si="156"/>
        <v>0</v>
      </c>
      <c r="G145" s="912">
        <f t="shared" ref="G145:Q145" si="165">IF(G88="積上げ",0,+G120)</f>
        <v>0</v>
      </c>
      <c r="H145" s="912">
        <f t="shared" si="165"/>
        <v>0</v>
      </c>
      <c r="I145" s="912">
        <f t="shared" si="165"/>
        <v>0</v>
      </c>
      <c r="J145" s="912">
        <f t="shared" ref="J145:L145" si="166">IF(J88="積上げ",0,+J120)</f>
        <v>0</v>
      </c>
      <c r="K145" s="912">
        <f t="shared" si="166"/>
        <v>0</v>
      </c>
      <c r="L145" s="912">
        <f t="shared" si="166"/>
        <v>0</v>
      </c>
      <c r="M145" s="912">
        <f t="shared" si="165"/>
        <v>0</v>
      </c>
      <c r="N145" s="912">
        <f t="shared" si="165"/>
        <v>0</v>
      </c>
      <c r="O145" s="912">
        <f t="shared" si="165"/>
        <v>0</v>
      </c>
      <c r="P145" s="912">
        <f t="shared" si="165"/>
        <v>0</v>
      </c>
      <c r="Q145" s="912">
        <f t="shared" si="165"/>
        <v>0</v>
      </c>
    </row>
    <row r="146" spans="1:17" s="896" customFormat="1" ht="15" hidden="1" customHeight="1">
      <c r="A146" s="2622"/>
      <c r="B146" s="2607" t="s">
        <v>2546</v>
      </c>
      <c r="C146" s="1110" t="s">
        <v>2642</v>
      </c>
      <c r="D146" s="1111">
        <v>1</v>
      </c>
      <c r="E146" s="1113">
        <v>0.01</v>
      </c>
      <c r="F146" s="911">
        <f t="shared" si="156"/>
        <v>0</v>
      </c>
      <c r="G146" s="912">
        <f t="shared" ref="G146:Q146" si="167">IF(G88="積上げ",0,+G121)</f>
        <v>0</v>
      </c>
      <c r="H146" s="912">
        <f t="shared" si="167"/>
        <v>0</v>
      </c>
      <c r="I146" s="912">
        <f t="shared" si="167"/>
        <v>0</v>
      </c>
      <c r="J146" s="912">
        <f t="shared" ref="J146:L146" si="168">IF(J88="積上げ",0,+J121)</f>
        <v>0</v>
      </c>
      <c r="K146" s="912">
        <f t="shared" si="168"/>
        <v>0</v>
      </c>
      <c r="L146" s="912">
        <f t="shared" si="168"/>
        <v>0</v>
      </c>
      <c r="M146" s="912">
        <f t="shared" si="167"/>
        <v>0</v>
      </c>
      <c r="N146" s="912">
        <f t="shared" si="167"/>
        <v>0</v>
      </c>
      <c r="O146" s="912">
        <f t="shared" si="167"/>
        <v>0</v>
      </c>
      <c r="P146" s="912">
        <f t="shared" si="167"/>
        <v>0</v>
      </c>
      <c r="Q146" s="912">
        <f t="shared" si="167"/>
        <v>0</v>
      </c>
    </row>
    <row r="147" spans="1:17" s="896" customFormat="1" ht="15" hidden="1" customHeight="1">
      <c r="A147" s="2622"/>
      <c r="B147" s="2605"/>
      <c r="C147" s="1110" t="s">
        <v>2643</v>
      </c>
      <c r="D147" s="1111">
        <v>1</v>
      </c>
      <c r="E147" s="1113">
        <v>0.01</v>
      </c>
      <c r="F147" s="911">
        <f t="shared" si="156"/>
        <v>0</v>
      </c>
      <c r="G147" s="912">
        <f t="shared" ref="G147:Q147" si="169">IF(G88="積上げ",0,G122)</f>
        <v>0</v>
      </c>
      <c r="H147" s="912">
        <f t="shared" si="169"/>
        <v>0</v>
      </c>
      <c r="I147" s="912">
        <f t="shared" si="169"/>
        <v>0</v>
      </c>
      <c r="J147" s="912">
        <f t="shared" ref="J147:L147" si="170">IF(J88="積上げ",0,J122)</f>
        <v>0</v>
      </c>
      <c r="K147" s="912">
        <f t="shared" si="170"/>
        <v>0</v>
      </c>
      <c r="L147" s="912">
        <f t="shared" si="170"/>
        <v>0</v>
      </c>
      <c r="M147" s="912">
        <f t="shared" si="169"/>
        <v>0</v>
      </c>
      <c r="N147" s="912">
        <f t="shared" si="169"/>
        <v>0</v>
      </c>
      <c r="O147" s="912">
        <f t="shared" si="169"/>
        <v>0</v>
      </c>
      <c r="P147" s="912">
        <f t="shared" si="169"/>
        <v>0</v>
      </c>
      <c r="Q147" s="912">
        <f t="shared" si="169"/>
        <v>0</v>
      </c>
    </row>
    <row r="148" spans="1:17" s="896" customFormat="1" ht="15" hidden="1" customHeight="1">
      <c r="A148" s="2622"/>
      <c r="B148" s="2605"/>
      <c r="C148" s="1110" t="s">
        <v>2549</v>
      </c>
      <c r="D148" s="1111">
        <v>1</v>
      </c>
      <c r="E148" s="1113">
        <v>0.01</v>
      </c>
      <c r="F148" s="911">
        <f t="shared" si="156"/>
        <v>0</v>
      </c>
      <c r="G148" s="912">
        <f t="shared" ref="G148:Q148" si="171">IF(G88="積上げ",0,G123)</f>
        <v>0</v>
      </c>
      <c r="H148" s="912">
        <f t="shared" si="171"/>
        <v>0</v>
      </c>
      <c r="I148" s="912">
        <f t="shared" si="171"/>
        <v>0</v>
      </c>
      <c r="J148" s="912">
        <f t="shared" ref="J148:L148" si="172">IF(J88="積上げ",0,J123)</f>
        <v>0</v>
      </c>
      <c r="K148" s="912">
        <f t="shared" si="172"/>
        <v>0</v>
      </c>
      <c r="L148" s="912">
        <f t="shared" si="172"/>
        <v>0</v>
      </c>
      <c r="M148" s="912">
        <f t="shared" si="171"/>
        <v>0</v>
      </c>
      <c r="N148" s="912">
        <f t="shared" si="171"/>
        <v>0</v>
      </c>
      <c r="O148" s="912">
        <f t="shared" si="171"/>
        <v>0</v>
      </c>
      <c r="P148" s="912">
        <f t="shared" si="171"/>
        <v>0</v>
      </c>
      <c r="Q148" s="912">
        <f t="shared" si="171"/>
        <v>0</v>
      </c>
    </row>
    <row r="149" spans="1:17" s="896" customFormat="1" ht="14.25" hidden="1" customHeight="1">
      <c r="A149" s="2622"/>
      <c r="B149" s="2605"/>
      <c r="C149" s="1110" t="s">
        <v>2629</v>
      </c>
      <c r="D149" s="1111"/>
      <c r="E149" s="1113"/>
      <c r="F149" s="911"/>
      <c r="G149" s="912"/>
      <c r="H149" s="912"/>
      <c r="I149" s="912"/>
      <c r="J149" s="912"/>
      <c r="K149" s="912"/>
      <c r="L149" s="912"/>
      <c r="M149" s="912"/>
      <c r="N149" s="912"/>
      <c r="O149" s="912"/>
      <c r="P149" s="912"/>
      <c r="Q149" s="912"/>
    </row>
    <row r="150" spans="1:17" s="896" customFormat="1" ht="14.25" hidden="1" customHeight="1">
      <c r="A150" s="2622"/>
      <c r="B150" s="2605"/>
      <c r="C150" s="1110" t="s">
        <v>2551</v>
      </c>
      <c r="D150" s="1111"/>
      <c r="E150" s="1113"/>
      <c r="F150" s="911"/>
      <c r="G150" s="912"/>
      <c r="H150" s="912"/>
      <c r="I150" s="912"/>
      <c r="J150" s="912"/>
      <c r="K150" s="912"/>
      <c r="L150" s="912"/>
      <c r="M150" s="912"/>
      <c r="N150" s="912"/>
      <c r="O150" s="912"/>
      <c r="P150" s="912"/>
      <c r="Q150" s="912"/>
    </row>
    <row r="151" spans="1:17" s="896" customFormat="1" ht="15" hidden="1" customHeight="1">
      <c r="A151" s="2622"/>
      <c r="B151" s="2605"/>
      <c r="C151" s="1110" t="s">
        <v>2552</v>
      </c>
      <c r="D151" s="1111">
        <v>1</v>
      </c>
      <c r="E151" s="1113">
        <v>0.01</v>
      </c>
      <c r="F151" s="911">
        <f>SUM(G151:Q151)</f>
        <v>0</v>
      </c>
      <c r="G151" s="912">
        <f t="shared" ref="G151:Q151" si="173">IF(G88="積上げ",0,+G126)</f>
        <v>0</v>
      </c>
      <c r="H151" s="912">
        <f t="shared" si="173"/>
        <v>0</v>
      </c>
      <c r="I151" s="912">
        <f t="shared" si="173"/>
        <v>0</v>
      </c>
      <c r="J151" s="912">
        <f t="shared" ref="J151:L151" si="174">IF(J88="積上げ",0,+J126)</f>
        <v>0</v>
      </c>
      <c r="K151" s="912">
        <f t="shared" si="174"/>
        <v>0</v>
      </c>
      <c r="L151" s="912">
        <f t="shared" si="174"/>
        <v>0</v>
      </c>
      <c r="M151" s="912">
        <f t="shared" si="173"/>
        <v>0</v>
      </c>
      <c r="N151" s="912">
        <f t="shared" si="173"/>
        <v>0</v>
      </c>
      <c r="O151" s="912">
        <f t="shared" si="173"/>
        <v>0</v>
      </c>
      <c r="P151" s="912">
        <f t="shared" si="173"/>
        <v>0</v>
      </c>
      <c r="Q151" s="912">
        <f t="shared" si="173"/>
        <v>0</v>
      </c>
    </row>
    <row r="152" spans="1:17" s="896" customFormat="1" ht="15" hidden="1" customHeight="1">
      <c r="A152" s="2622"/>
      <c r="B152" s="2605"/>
      <c r="C152" s="1114" t="s">
        <v>2630</v>
      </c>
      <c r="D152" s="1111">
        <v>1</v>
      </c>
      <c r="E152" s="1113">
        <v>0.01</v>
      </c>
      <c r="F152" s="911">
        <f>SUM(G152:Q152)</f>
        <v>0</v>
      </c>
      <c r="G152" s="912">
        <f t="shared" ref="G152:Q152" si="175">IF(G88="積上げ",0,+G127)</f>
        <v>0</v>
      </c>
      <c r="H152" s="912">
        <f t="shared" si="175"/>
        <v>0</v>
      </c>
      <c r="I152" s="912">
        <f t="shared" si="175"/>
        <v>0</v>
      </c>
      <c r="J152" s="912">
        <f t="shared" ref="J152:L152" si="176">IF(J88="積上げ",0,+J127)</f>
        <v>0</v>
      </c>
      <c r="K152" s="912">
        <f t="shared" si="176"/>
        <v>0</v>
      </c>
      <c r="L152" s="912">
        <f t="shared" si="176"/>
        <v>0</v>
      </c>
      <c r="M152" s="912">
        <f t="shared" si="175"/>
        <v>0</v>
      </c>
      <c r="N152" s="912">
        <f t="shared" si="175"/>
        <v>0</v>
      </c>
      <c r="O152" s="912">
        <f t="shared" si="175"/>
        <v>0</v>
      </c>
      <c r="P152" s="912">
        <f t="shared" si="175"/>
        <v>0</v>
      </c>
      <c r="Q152" s="912">
        <f t="shared" si="175"/>
        <v>0</v>
      </c>
    </row>
    <row r="153" spans="1:17" s="896" customFormat="1" ht="15" hidden="1" customHeight="1">
      <c r="A153" s="2622"/>
      <c r="B153" s="2605"/>
      <c r="C153" s="1114" t="s">
        <v>2631</v>
      </c>
      <c r="D153" s="1111">
        <v>1</v>
      </c>
      <c r="E153" s="1113">
        <v>0.01</v>
      </c>
      <c r="F153" s="911">
        <f>SUM(G153:Q153)</f>
        <v>0</v>
      </c>
      <c r="G153" s="912">
        <f t="shared" ref="G153:Q153" si="177">IF(G88="積上げ",0,+G128)</f>
        <v>0</v>
      </c>
      <c r="H153" s="912">
        <f t="shared" si="177"/>
        <v>0</v>
      </c>
      <c r="I153" s="912">
        <f t="shared" si="177"/>
        <v>0</v>
      </c>
      <c r="J153" s="912">
        <f t="shared" ref="J153:L153" si="178">IF(J88="積上げ",0,+J128)</f>
        <v>0</v>
      </c>
      <c r="K153" s="912">
        <f t="shared" si="178"/>
        <v>0</v>
      </c>
      <c r="L153" s="912">
        <f t="shared" si="178"/>
        <v>0</v>
      </c>
      <c r="M153" s="912">
        <f t="shared" si="177"/>
        <v>0</v>
      </c>
      <c r="N153" s="912">
        <f t="shared" si="177"/>
        <v>0</v>
      </c>
      <c r="O153" s="912">
        <f t="shared" si="177"/>
        <v>0</v>
      </c>
      <c r="P153" s="912">
        <f t="shared" si="177"/>
        <v>0</v>
      </c>
      <c r="Q153" s="912">
        <f t="shared" si="177"/>
        <v>0</v>
      </c>
    </row>
    <row r="154" spans="1:17" s="896" customFormat="1" ht="15" hidden="1" customHeight="1">
      <c r="A154" s="2622"/>
      <c r="B154" s="2606"/>
      <c r="C154" s="1110" t="s">
        <v>2555</v>
      </c>
      <c r="D154" s="1111">
        <v>1</v>
      </c>
      <c r="E154" s="1113">
        <v>0.01</v>
      </c>
      <c r="F154" s="911">
        <f>SUM(G154:Q154)</f>
        <v>0</v>
      </c>
      <c r="G154" s="912">
        <f t="shared" ref="G154:Q154" si="179">IF(G88="積上げ",0,+G129)</f>
        <v>0</v>
      </c>
      <c r="H154" s="912">
        <f t="shared" si="179"/>
        <v>0</v>
      </c>
      <c r="I154" s="912">
        <f t="shared" si="179"/>
        <v>0</v>
      </c>
      <c r="J154" s="912">
        <f t="shared" ref="J154:L154" si="180">IF(J88="積上げ",0,+J129)</f>
        <v>0</v>
      </c>
      <c r="K154" s="912">
        <f t="shared" si="180"/>
        <v>0</v>
      </c>
      <c r="L154" s="912">
        <f t="shared" si="180"/>
        <v>0</v>
      </c>
      <c r="M154" s="912">
        <f t="shared" si="179"/>
        <v>0</v>
      </c>
      <c r="N154" s="912">
        <f t="shared" si="179"/>
        <v>0</v>
      </c>
      <c r="O154" s="912">
        <f t="shared" si="179"/>
        <v>0</v>
      </c>
      <c r="P154" s="912">
        <f t="shared" si="179"/>
        <v>0</v>
      </c>
      <c r="Q154" s="912">
        <f t="shared" si="179"/>
        <v>0</v>
      </c>
    </row>
    <row r="155" spans="1:17" s="896" customFormat="1" ht="15" hidden="1" customHeight="1">
      <c r="A155" s="2623"/>
      <c r="B155" s="1115" t="s">
        <v>2644</v>
      </c>
      <c r="C155" s="1116" t="s">
        <v>2645</v>
      </c>
      <c r="D155" s="1117">
        <v>1</v>
      </c>
      <c r="E155" s="1118">
        <v>0</v>
      </c>
      <c r="F155" s="946">
        <f>SUM(G155:Q155)</f>
        <v>388791162</v>
      </c>
      <c r="G155" s="1073">
        <f t="shared" ref="G155:Q155" si="181">IF(G88="積上げ",0,SUM(G133:G136)+G130)</f>
        <v>33425885</v>
      </c>
      <c r="H155" s="1073">
        <f t="shared" si="181"/>
        <v>22318883</v>
      </c>
      <c r="I155" s="1073">
        <f t="shared" si="181"/>
        <v>2131661</v>
      </c>
      <c r="J155" s="1073">
        <f t="shared" ref="J155:L155" si="182">IF(J88="積上げ",0,SUM(J133:J136)+J130)</f>
        <v>107929486</v>
      </c>
      <c r="K155" s="1073">
        <f t="shared" si="182"/>
        <v>10208163</v>
      </c>
      <c r="L155" s="1073">
        <f t="shared" si="182"/>
        <v>44795961</v>
      </c>
      <c r="M155" s="1073">
        <f t="shared" si="181"/>
        <v>28913934</v>
      </c>
      <c r="N155" s="1073">
        <f t="shared" si="181"/>
        <v>139067189</v>
      </c>
      <c r="O155" s="1073">
        <f t="shared" si="181"/>
        <v>0</v>
      </c>
      <c r="P155" s="1073">
        <f t="shared" si="181"/>
        <v>0</v>
      </c>
      <c r="Q155" s="1073">
        <f t="shared" si="181"/>
        <v>0</v>
      </c>
    </row>
    <row r="156" spans="1:17" s="896" customFormat="1" ht="15" hidden="1" customHeight="1">
      <c r="A156" s="1119"/>
      <c r="B156" s="1120"/>
      <c r="C156" s="1121"/>
      <c r="D156" s="2624"/>
      <c r="E156" s="2624"/>
      <c r="F156" s="1108"/>
      <c r="G156" s="1109"/>
      <c r="H156" s="1109"/>
      <c r="I156" s="1109"/>
      <c r="J156" s="1109"/>
      <c r="K156" s="1109"/>
      <c r="L156" s="1109"/>
      <c r="M156" s="1109"/>
      <c r="N156" s="1109"/>
      <c r="O156" s="1109"/>
      <c r="P156" s="1109"/>
      <c r="Q156" s="1122"/>
    </row>
    <row r="157" spans="1:17" s="896" customFormat="1" ht="15" hidden="1" customHeight="1">
      <c r="A157" s="2618" t="s">
        <v>2646</v>
      </c>
      <c r="B157" s="2619"/>
      <c r="C157" s="2620"/>
      <c r="D157" s="2625"/>
      <c r="E157" s="2625"/>
      <c r="F157" s="1101"/>
      <c r="G157" s="1102"/>
      <c r="H157" s="1102"/>
      <c r="I157" s="1102"/>
      <c r="J157" s="1102"/>
      <c r="K157" s="1102"/>
      <c r="L157" s="1102"/>
      <c r="M157" s="1102"/>
      <c r="N157" s="1102"/>
      <c r="O157" s="1102"/>
      <c r="P157" s="1102"/>
      <c r="Q157" s="1103"/>
    </row>
    <row r="158" spans="1:17" s="896" customFormat="1" ht="15" hidden="1" customHeight="1">
      <c r="A158" s="2621"/>
      <c r="B158" s="2604" t="s">
        <v>2541</v>
      </c>
      <c r="C158" s="1123" t="s">
        <v>2542</v>
      </c>
      <c r="D158" s="1124"/>
      <c r="E158" s="1125" t="s">
        <v>2639</v>
      </c>
      <c r="F158" s="1126" t="s">
        <v>2647</v>
      </c>
      <c r="G158" s="1127">
        <f t="shared" ref="G158:Q158" si="183">IF(G142=0,0,IF(G90="有り",+G264/100,G265/100))</f>
        <v>0</v>
      </c>
      <c r="H158" s="1127">
        <f t="shared" si="183"/>
        <v>0</v>
      </c>
      <c r="I158" s="1127">
        <f t="shared" si="183"/>
        <v>0</v>
      </c>
      <c r="J158" s="1127">
        <f t="shared" ref="J158:L158" si="184">IF(J142=0,0,IF(J90="有り",+J264/100,J265/100))</f>
        <v>0</v>
      </c>
      <c r="K158" s="1127">
        <f t="shared" si="184"/>
        <v>0</v>
      </c>
      <c r="L158" s="1127">
        <f t="shared" si="184"/>
        <v>0</v>
      </c>
      <c r="M158" s="1127">
        <f t="shared" si="183"/>
        <v>0</v>
      </c>
      <c r="N158" s="1127">
        <f t="shared" si="183"/>
        <v>0</v>
      </c>
      <c r="O158" s="1127">
        <f t="shared" si="183"/>
        <v>0</v>
      </c>
      <c r="P158" s="1127">
        <f t="shared" si="183"/>
        <v>0</v>
      </c>
      <c r="Q158" s="1128">
        <f t="shared" si="183"/>
        <v>0</v>
      </c>
    </row>
    <row r="159" spans="1:17" s="896" customFormat="1" ht="15" hidden="1" customHeight="1">
      <c r="A159" s="2622"/>
      <c r="B159" s="2605"/>
      <c r="C159" s="1129"/>
      <c r="D159" s="1130">
        <f>+D142</f>
        <v>1</v>
      </c>
      <c r="E159" s="1131" t="s">
        <v>2639</v>
      </c>
      <c r="F159" s="1064">
        <f>SUM(G159:Q159)</f>
        <v>0</v>
      </c>
      <c r="G159" s="1080">
        <f>ROUNDDOWN(G142*G158*$D159,0)</f>
        <v>0</v>
      </c>
      <c r="H159" s="1080">
        <f t="shared" ref="H159:Q159" si="185">ROUNDDOWN(H142*H158*$D159,0)</f>
        <v>0</v>
      </c>
      <c r="I159" s="1080">
        <f t="shared" si="185"/>
        <v>0</v>
      </c>
      <c r="J159" s="1080">
        <f t="shared" ref="J159" si="186">ROUNDDOWN(J142*J158*$D159,0)</f>
        <v>0</v>
      </c>
      <c r="K159" s="1080">
        <f>ROUNDDOWN(K142*K158*$D159,0)</f>
        <v>0</v>
      </c>
      <c r="L159" s="1080">
        <f t="shared" ref="L159" si="187">ROUNDDOWN(L142*L158*$D159,0)</f>
        <v>0</v>
      </c>
      <c r="M159" s="1080">
        <f t="shared" si="185"/>
        <v>0</v>
      </c>
      <c r="N159" s="1080">
        <f>ROUNDDOWN(N142*N158*$D159,0)</f>
        <v>0</v>
      </c>
      <c r="O159" s="1080">
        <f t="shared" si="185"/>
        <v>0</v>
      </c>
      <c r="P159" s="1080">
        <f t="shared" si="185"/>
        <v>0</v>
      </c>
      <c r="Q159" s="1081">
        <f t="shared" si="185"/>
        <v>0</v>
      </c>
    </row>
    <row r="160" spans="1:17" s="896" customFormat="1" ht="15" hidden="1" customHeight="1">
      <c r="A160" s="2622"/>
      <c r="B160" s="2605"/>
      <c r="C160" s="1132" t="s">
        <v>2543</v>
      </c>
      <c r="D160" s="1133"/>
      <c r="E160" s="1131" t="s">
        <v>2639</v>
      </c>
      <c r="F160" s="1134" t="s">
        <v>2647</v>
      </c>
      <c r="G160" s="1135">
        <f t="shared" ref="G160:Q160" si="188">IF(G143=0,0,IF(G90="有り",G273/100,+G274/100))</f>
        <v>0</v>
      </c>
      <c r="H160" s="1135">
        <f t="shared" si="188"/>
        <v>0</v>
      </c>
      <c r="I160" s="1135">
        <f t="shared" si="188"/>
        <v>0</v>
      </c>
      <c r="J160" s="1135">
        <f t="shared" ref="J160:L160" si="189">IF(J143=0,0,IF(J90="有り",J273/100,+J274/100))</f>
        <v>0</v>
      </c>
      <c r="K160" s="1135">
        <f t="shared" si="189"/>
        <v>0</v>
      </c>
      <c r="L160" s="1135">
        <f t="shared" si="189"/>
        <v>0</v>
      </c>
      <c r="M160" s="1135">
        <f t="shared" si="188"/>
        <v>0</v>
      </c>
      <c r="N160" s="1135">
        <f t="shared" si="188"/>
        <v>0</v>
      </c>
      <c r="O160" s="1135">
        <f t="shared" si="188"/>
        <v>0</v>
      </c>
      <c r="P160" s="1135">
        <f t="shared" si="188"/>
        <v>0</v>
      </c>
      <c r="Q160" s="1136">
        <f t="shared" si="188"/>
        <v>0</v>
      </c>
    </row>
    <row r="161" spans="1:17" s="896" customFormat="1" ht="15" hidden="1" customHeight="1">
      <c r="A161" s="2622"/>
      <c r="B161" s="2605"/>
      <c r="C161" s="1129"/>
      <c r="D161" s="1137">
        <f t="shared" ref="D161:D166" si="190">+D143</f>
        <v>1</v>
      </c>
      <c r="E161" s="1131" t="s">
        <v>2639</v>
      </c>
      <c r="F161" s="1064">
        <f>SUM(G161:Q161)</f>
        <v>0</v>
      </c>
      <c r="G161" s="1080">
        <f>ROUNDDOWN(G143*G160*$D161,0)</f>
        <v>0</v>
      </c>
      <c r="H161" s="1080">
        <f t="shared" ref="H161:Q161" si="191">ROUNDDOWN(H143*H160*$D161,0)</f>
        <v>0</v>
      </c>
      <c r="I161" s="1080">
        <f t="shared" si="191"/>
        <v>0</v>
      </c>
      <c r="J161" s="1080">
        <f t="shared" ref="J161" si="192">ROUNDDOWN(J143*J160*$D161,0)</f>
        <v>0</v>
      </c>
      <c r="K161" s="1080">
        <f>ROUNDDOWN(K143*K160*$D161,0)</f>
        <v>0</v>
      </c>
      <c r="L161" s="1080">
        <f t="shared" ref="L161" si="193">ROUNDDOWN(L143*L160*$D161,0)</f>
        <v>0</v>
      </c>
      <c r="M161" s="1080">
        <f t="shared" si="191"/>
        <v>0</v>
      </c>
      <c r="N161" s="1080">
        <f>ROUNDDOWN(N143*N160*$D161,0)</f>
        <v>0</v>
      </c>
      <c r="O161" s="1080">
        <f t="shared" si="191"/>
        <v>0</v>
      </c>
      <c r="P161" s="1080">
        <f t="shared" si="191"/>
        <v>0</v>
      </c>
      <c r="Q161" s="1081">
        <f t="shared" si="191"/>
        <v>0</v>
      </c>
    </row>
    <row r="162" spans="1:17" s="896" customFormat="1" ht="15" hidden="1" customHeight="1">
      <c r="A162" s="2622"/>
      <c r="B162" s="2605"/>
      <c r="C162" s="1110" t="s">
        <v>2565</v>
      </c>
      <c r="D162" s="1138">
        <v>0.9</v>
      </c>
      <c r="E162" s="1131" t="s">
        <v>2639</v>
      </c>
      <c r="F162" s="1064">
        <f>SUM(G162:Q162)</f>
        <v>0</v>
      </c>
      <c r="G162" s="1080">
        <f>ROUNDDOWN(G144*G158*$D162,0)</f>
        <v>0</v>
      </c>
      <c r="H162" s="1080">
        <f t="shared" ref="H162:Q162" si="194">ROUNDDOWN(H144*H158*$D162,0)</f>
        <v>0</v>
      </c>
      <c r="I162" s="1080">
        <f t="shared" si="194"/>
        <v>0</v>
      </c>
      <c r="J162" s="1080">
        <f t="shared" ref="J162" si="195">ROUNDDOWN(J144*J158*$D162,0)</f>
        <v>0</v>
      </c>
      <c r="K162" s="1080">
        <f>ROUNDDOWN(K144*K158*$D162,0)</f>
        <v>0</v>
      </c>
      <c r="L162" s="1080">
        <f t="shared" ref="L162" si="196">ROUNDDOWN(L144*L158*$D162,0)</f>
        <v>0</v>
      </c>
      <c r="M162" s="1080">
        <f t="shared" si="194"/>
        <v>0</v>
      </c>
      <c r="N162" s="1080">
        <f>ROUNDDOWN(N144*N158*$D162,0)</f>
        <v>0</v>
      </c>
      <c r="O162" s="1080">
        <f t="shared" si="194"/>
        <v>0</v>
      </c>
      <c r="P162" s="1080">
        <f t="shared" si="194"/>
        <v>0</v>
      </c>
      <c r="Q162" s="1081">
        <f t="shared" si="194"/>
        <v>0</v>
      </c>
    </row>
    <row r="163" spans="1:17" s="896" customFormat="1" ht="15" hidden="1" customHeight="1">
      <c r="A163" s="2622"/>
      <c r="B163" s="2606"/>
      <c r="C163" s="1110" t="s">
        <v>2566</v>
      </c>
      <c r="D163" s="1138">
        <v>0.9</v>
      </c>
      <c r="E163" s="1131" t="s">
        <v>2639</v>
      </c>
      <c r="F163" s="1064">
        <f>SUM(G163:Q163)</f>
        <v>0</v>
      </c>
      <c r="G163" s="1080">
        <f>ROUNDDOWN(G145*G160*$D163,0)</f>
        <v>0</v>
      </c>
      <c r="H163" s="1080">
        <f t="shared" ref="H163:Q163" si="197">ROUNDDOWN(H145*H160*$D163,0)</f>
        <v>0</v>
      </c>
      <c r="I163" s="1080">
        <f t="shared" si="197"/>
        <v>0</v>
      </c>
      <c r="J163" s="1080">
        <f t="shared" ref="J163" si="198">ROUNDDOWN(J145*J160*$D163,0)</f>
        <v>0</v>
      </c>
      <c r="K163" s="1080">
        <f>ROUNDDOWN(K145*K160*$D163,0)</f>
        <v>0</v>
      </c>
      <c r="L163" s="1080">
        <f t="shared" ref="L163" si="199">ROUNDDOWN(L145*L160*$D163,0)</f>
        <v>0</v>
      </c>
      <c r="M163" s="1080">
        <f t="shared" si="197"/>
        <v>0</v>
      </c>
      <c r="N163" s="1080">
        <f>ROUNDDOWN(N145*N160*$D163,0)</f>
        <v>0</v>
      </c>
      <c r="O163" s="1080">
        <f t="shared" si="197"/>
        <v>0</v>
      </c>
      <c r="P163" s="1080">
        <f t="shared" si="197"/>
        <v>0</v>
      </c>
      <c r="Q163" s="1081">
        <f t="shared" si="197"/>
        <v>0</v>
      </c>
    </row>
    <row r="164" spans="1:17" s="896" customFormat="1" ht="15" hidden="1" customHeight="1">
      <c r="A164" s="2622"/>
      <c r="B164" s="2607" t="s">
        <v>2546</v>
      </c>
      <c r="C164" s="1110" t="s">
        <v>2642</v>
      </c>
      <c r="D164" s="1138">
        <f>+D146</f>
        <v>1</v>
      </c>
      <c r="E164" s="1113">
        <f>+E146</f>
        <v>0.01</v>
      </c>
      <c r="F164" s="911">
        <v>0</v>
      </c>
      <c r="G164" s="1080">
        <f t="shared" ref="G164:Q173" si="200">ROUNDDOWN(G146*$E164*$D164,0)</f>
        <v>0</v>
      </c>
      <c r="H164" s="1080">
        <f t="shared" si="200"/>
        <v>0</v>
      </c>
      <c r="I164" s="1080">
        <f t="shared" si="200"/>
        <v>0</v>
      </c>
      <c r="J164" s="1080">
        <f t="shared" ref="J164:L164" si="201">ROUNDDOWN(J146*$E164*$D164,0)</f>
        <v>0</v>
      </c>
      <c r="K164" s="1080">
        <f t="shared" si="201"/>
        <v>0</v>
      </c>
      <c r="L164" s="1080">
        <f t="shared" si="201"/>
        <v>0</v>
      </c>
      <c r="M164" s="1080">
        <f t="shared" si="200"/>
        <v>0</v>
      </c>
      <c r="N164" s="1080">
        <f t="shared" si="200"/>
        <v>0</v>
      </c>
      <c r="O164" s="1080">
        <f t="shared" si="200"/>
        <v>0</v>
      </c>
      <c r="P164" s="1080">
        <f t="shared" si="200"/>
        <v>0</v>
      </c>
      <c r="Q164" s="1080">
        <f t="shared" si="200"/>
        <v>0</v>
      </c>
    </row>
    <row r="165" spans="1:17" s="896" customFormat="1" ht="15" hidden="1" customHeight="1">
      <c r="A165" s="2622"/>
      <c r="B165" s="2605"/>
      <c r="C165" s="1110" t="s">
        <v>2648</v>
      </c>
      <c r="D165" s="1138">
        <f t="shared" si="190"/>
        <v>1</v>
      </c>
      <c r="E165" s="1113">
        <f>+E147</f>
        <v>0.01</v>
      </c>
      <c r="F165" s="911">
        <v>0</v>
      </c>
      <c r="G165" s="1080">
        <f t="shared" si="200"/>
        <v>0</v>
      </c>
      <c r="H165" s="1080">
        <f t="shared" si="200"/>
        <v>0</v>
      </c>
      <c r="I165" s="1080">
        <f t="shared" si="200"/>
        <v>0</v>
      </c>
      <c r="J165" s="1080">
        <f t="shared" ref="J165:L165" si="202">ROUNDDOWN(J147*$E165*$D165,0)</f>
        <v>0</v>
      </c>
      <c r="K165" s="1080">
        <f t="shared" si="202"/>
        <v>0</v>
      </c>
      <c r="L165" s="1080">
        <f t="shared" si="202"/>
        <v>0</v>
      </c>
      <c r="M165" s="1080">
        <f t="shared" si="200"/>
        <v>0</v>
      </c>
      <c r="N165" s="1080">
        <f t="shared" si="200"/>
        <v>0</v>
      </c>
      <c r="O165" s="1080">
        <f t="shared" si="200"/>
        <v>0</v>
      </c>
      <c r="P165" s="1080">
        <f t="shared" si="200"/>
        <v>0</v>
      </c>
      <c r="Q165" s="1080">
        <f t="shared" si="200"/>
        <v>0</v>
      </c>
    </row>
    <row r="166" spans="1:17" s="896" customFormat="1" ht="15" hidden="1" customHeight="1">
      <c r="A166" s="2622"/>
      <c r="B166" s="2605"/>
      <c r="C166" s="1110" t="s">
        <v>2549</v>
      </c>
      <c r="D166" s="1138">
        <f t="shared" si="190"/>
        <v>1</v>
      </c>
      <c r="E166" s="1113">
        <f>+E148</f>
        <v>0.01</v>
      </c>
      <c r="F166" s="911">
        <v>0</v>
      </c>
      <c r="G166" s="1080">
        <f t="shared" si="200"/>
        <v>0</v>
      </c>
      <c r="H166" s="1080">
        <f t="shared" si="200"/>
        <v>0</v>
      </c>
      <c r="I166" s="1080">
        <f t="shared" si="200"/>
        <v>0</v>
      </c>
      <c r="J166" s="1080">
        <f t="shared" ref="J166:L166" si="203">ROUNDDOWN(J148*$E166*$D166,0)</f>
        <v>0</v>
      </c>
      <c r="K166" s="1080">
        <f t="shared" si="203"/>
        <v>0</v>
      </c>
      <c r="L166" s="1080">
        <f t="shared" si="203"/>
        <v>0</v>
      </c>
      <c r="M166" s="1080">
        <f t="shared" si="200"/>
        <v>0</v>
      </c>
      <c r="N166" s="1080">
        <f t="shared" si="200"/>
        <v>0</v>
      </c>
      <c r="O166" s="1080">
        <f t="shared" si="200"/>
        <v>0</v>
      </c>
      <c r="P166" s="1080">
        <f t="shared" si="200"/>
        <v>0</v>
      </c>
      <c r="Q166" s="1080">
        <f t="shared" si="200"/>
        <v>0</v>
      </c>
    </row>
    <row r="167" spans="1:17" s="896" customFormat="1" ht="15" hidden="1" customHeight="1">
      <c r="A167" s="2622"/>
      <c r="B167" s="2605"/>
      <c r="C167" s="1110" t="s">
        <v>2649</v>
      </c>
      <c r="D167" s="1138"/>
      <c r="E167" s="1113"/>
      <c r="F167" s="911"/>
      <c r="G167" s="1080"/>
      <c r="H167" s="1080"/>
      <c r="I167" s="1080"/>
      <c r="J167" s="1080"/>
      <c r="K167" s="1080"/>
      <c r="L167" s="1080"/>
      <c r="M167" s="1080"/>
      <c r="N167" s="1080"/>
      <c r="O167" s="1080"/>
      <c r="P167" s="1080"/>
      <c r="Q167" s="1080"/>
    </row>
    <row r="168" spans="1:17" s="896" customFormat="1" ht="15" hidden="1" customHeight="1">
      <c r="A168" s="2622"/>
      <c r="B168" s="2605"/>
      <c r="C168" s="1139" t="s">
        <v>2551</v>
      </c>
      <c r="D168" s="1138"/>
      <c r="E168" s="1113"/>
      <c r="F168" s="911"/>
      <c r="G168" s="1080"/>
      <c r="H168" s="1080"/>
      <c r="I168" s="1080"/>
      <c r="J168" s="1080"/>
      <c r="K168" s="1080"/>
      <c r="L168" s="1080"/>
      <c r="M168" s="1080"/>
      <c r="N168" s="1080"/>
      <c r="O168" s="1080"/>
      <c r="P168" s="1080"/>
      <c r="Q168" s="1080"/>
    </row>
    <row r="169" spans="1:17" s="896" customFormat="1" ht="15" hidden="1" customHeight="1">
      <c r="A169" s="2622"/>
      <c r="B169" s="2605"/>
      <c r="C169" s="1110" t="s">
        <v>2552</v>
      </c>
      <c r="D169" s="1138">
        <f t="shared" ref="D169:E173" si="204">+D151</f>
        <v>1</v>
      </c>
      <c r="E169" s="1113">
        <f t="shared" si="204"/>
        <v>0.01</v>
      </c>
      <c r="F169" s="911">
        <v>0</v>
      </c>
      <c r="G169" s="1080">
        <f t="shared" si="200"/>
        <v>0</v>
      </c>
      <c r="H169" s="1080">
        <f t="shared" si="200"/>
        <v>0</v>
      </c>
      <c r="I169" s="1080">
        <f t="shared" si="200"/>
        <v>0</v>
      </c>
      <c r="J169" s="1080">
        <f t="shared" ref="J169:L169" si="205">ROUNDDOWN(J151*$E169*$D169,0)</f>
        <v>0</v>
      </c>
      <c r="K169" s="1080">
        <f t="shared" si="205"/>
        <v>0</v>
      </c>
      <c r="L169" s="1080">
        <f t="shared" si="205"/>
        <v>0</v>
      </c>
      <c r="M169" s="1080">
        <f t="shared" si="200"/>
        <v>0</v>
      </c>
      <c r="N169" s="1080">
        <f t="shared" si="200"/>
        <v>0</v>
      </c>
      <c r="O169" s="1080">
        <f t="shared" si="200"/>
        <v>0</v>
      </c>
      <c r="P169" s="1080">
        <f t="shared" si="200"/>
        <v>0</v>
      </c>
      <c r="Q169" s="1080">
        <f t="shared" si="200"/>
        <v>0</v>
      </c>
    </row>
    <row r="170" spans="1:17" s="896" customFormat="1" ht="15" hidden="1" customHeight="1">
      <c r="A170" s="2622"/>
      <c r="B170" s="2605"/>
      <c r="C170" s="1114" t="s">
        <v>2650</v>
      </c>
      <c r="D170" s="1138">
        <f t="shared" si="204"/>
        <v>1</v>
      </c>
      <c r="E170" s="1113">
        <f t="shared" si="204"/>
        <v>0.01</v>
      </c>
      <c r="F170" s="911">
        <v>0</v>
      </c>
      <c r="G170" s="1080">
        <f t="shared" si="200"/>
        <v>0</v>
      </c>
      <c r="H170" s="1080">
        <f t="shared" si="200"/>
        <v>0</v>
      </c>
      <c r="I170" s="1080">
        <f t="shared" si="200"/>
        <v>0</v>
      </c>
      <c r="J170" s="1080">
        <f t="shared" ref="J170:L170" si="206">ROUNDDOWN(J152*$E170*$D170,0)</f>
        <v>0</v>
      </c>
      <c r="K170" s="1080">
        <f t="shared" si="206"/>
        <v>0</v>
      </c>
      <c r="L170" s="1080">
        <f t="shared" si="206"/>
        <v>0</v>
      </c>
      <c r="M170" s="1080">
        <f t="shared" si="200"/>
        <v>0</v>
      </c>
      <c r="N170" s="1080">
        <f t="shared" si="200"/>
        <v>0</v>
      </c>
      <c r="O170" s="1080">
        <f t="shared" si="200"/>
        <v>0</v>
      </c>
      <c r="P170" s="1080">
        <f t="shared" si="200"/>
        <v>0</v>
      </c>
      <c r="Q170" s="1080">
        <f t="shared" si="200"/>
        <v>0</v>
      </c>
    </row>
    <row r="171" spans="1:17" s="896" customFormat="1" ht="15" hidden="1" customHeight="1">
      <c r="A171" s="2622"/>
      <c r="B171" s="2605"/>
      <c r="C171" s="1114" t="s">
        <v>2651</v>
      </c>
      <c r="D171" s="1138">
        <f t="shared" si="204"/>
        <v>1</v>
      </c>
      <c r="E171" s="1113">
        <f t="shared" si="204"/>
        <v>0.01</v>
      </c>
      <c r="F171" s="911">
        <v>0</v>
      </c>
      <c r="G171" s="1080">
        <f t="shared" si="200"/>
        <v>0</v>
      </c>
      <c r="H171" s="1080">
        <f t="shared" si="200"/>
        <v>0</v>
      </c>
      <c r="I171" s="1080">
        <f t="shared" si="200"/>
        <v>0</v>
      </c>
      <c r="J171" s="1080">
        <f t="shared" ref="J171:L171" si="207">ROUNDDOWN(J153*$E171*$D171,0)</f>
        <v>0</v>
      </c>
      <c r="K171" s="1080">
        <f t="shared" si="207"/>
        <v>0</v>
      </c>
      <c r="L171" s="1080">
        <f t="shared" si="207"/>
        <v>0</v>
      </c>
      <c r="M171" s="1080">
        <f t="shared" si="200"/>
        <v>0</v>
      </c>
      <c r="N171" s="1080">
        <f t="shared" si="200"/>
        <v>0</v>
      </c>
      <c r="O171" s="1080">
        <f t="shared" si="200"/>
        <v>0</v>
      </c>
      <c r="P171" s="1080">
        <f t="shared" si="200"/>
        <v>0</v>
      </c>
      <c r="Q171" s="1080">
        <f t="shared" si="200"/>
        <v>0</v>
      </c>
    </row>
    <row r="172" spans="1:17" s="896" customFormat="1" ht="15" hidden="1" customHeight="1">
      <c r="A172" s="2622"/>
      <c r="B172" s="2606"/>
      <c r="C172" s="1110" t="s">
        <v>2555</v>
      </c>
      <c r="D172" s="1138">
        <f t="shared" si="204"/>
        <v>1</v>
      </c>
      <c r="E172" s="1113">
        <f t="shared" si="204"/>
        <v>0.01</v>
      </c>
      <c r="F172" s="911">
        <v>0</v>
      </c>
      <c r="G172" s="1080">
        <f t="shared" si="200"/>
        <v>0</v>
      </c>
      <c r="H172" s="1080">
        <f t="shared" si="200"/>
        <v>0</v>
      </c>
      <c r="I172" s="1080">
        <f t="shared" si="200"/>
        <v>0</v>
      </c>
      <c r="J172" s="1080">
        <f t="shared" ref="J172:L172" si="208">ROUNDDOWN(J154*$E172*$D172,0)</f>
        <v>0</v>
      </c>
      <c r="K172" s="1080">
        <f t="shared" si="208"/>
        <v>0</v>
      </c>
      <c r="L172" s="1080">
        <f t="shared" si="208"/>
        <v>0</v>
      </c>
      <c r="M172" s="1080">
        <f t="shared" si="200"/>
        <v>0</v>
      </c>
      <c r="N172" s="1080">
        <f t="shared" si="200"/>
        <v>0</v>
      </c>
      <c r="O172" s="1080">
        <f t="shared" si="200"/>
        <v>0</v>
      </c>
      <c r="P172" s="1080">
        <f t="shared" si="200"/>
        <v>0</v>
      </c>
      <c r="Q172" s="1080">
        <f t="shared" si="200"/>
        <v>0</v>
      </c>
    </row>
    <row r="173" spans="1:17" s="896" customFormat="1" ht="15" hidden="1" customHeight="1" thickBot="1">
      <c r="A173" s="2626"/>
      <c r="B173" s="1140" t="s">
        <v>2644</v>
      </c>
      <c r="C173" s="1141" t="s">
        <v>2652</v>
      </c>
      <c r="D173" s="1142">
        <f t="shared" si="204"/>
        <v>1</v>
      </c>
      <c r="E173" s="1143">
        <f t="shared" si="204"/>
        <v>0</v>
      </c>
      <c r="F173" s="1144">
        <f>ROUNDDOWN(D173*E173*F155,0)</f>
        <v>0</v>
      </c>
      <c r="G173" s="1080">
        <f>ROUNDDOWN(G155*$E173*$D173,0)</f>
        <v>0</v>
      </c>
      <c r="H173" s="1080">
        <f>ROUNDDOWN(H155*$E173*$D173,0)</f>
        <v>0</v>
      </c>
      <c r="I173" s="1080">
        <f t="shared" si="200"/>
        <v>0</v>
      </c>
      <c r="J173" s="1080">
        <f t="shared" ref="J173:L173" si="209">ROUNDDOWN(J155*$E173*$D173,0)</f>
        <v>0</v>
      </c>
      <c r="K173" s="1080">
        <f t="shared" si="209"/>
        <v>0</v>
      </c>
      <c r="L173" s="1080">
        <f t="shared" si="209"/>
        <v>0</v>
      </c>
      <c r="M173" s="1080">
        <f t="shared" si="200"/>
        <v>0</v>
      </c>
      <c r="N173" s="1080">
        <f t="shared" si="200"/>
        <v>0</v>
      </c>
      <c r="O173" s="1080">
        <f t="shared" si="200"/>
        <v>0</v>
      </c>
      <c r="P173" s="1080">
        <f t="shared" si="200"/>
        <v>0</v>
      </c>
      <c r="Q173" s="1080">
        <f t="shared" si="200"/>
        <v>0</v>
      </c>
    </row>
    <row r="174" spans="1:17" s="896" customFormat="1" ht="15" hidden="1" customHeight="1" thickTop="1">
      <c r="A174" s="1145"/>
      <c r="B174" s="1146"/>
      <c r="C174" s="1147" t="s">
        <v>2653</v>
      </c>
      <c r="D174" s="1148"/>
      <c r="E174" s="1149"/>
      <c r="F174" s="1150">
        <f>SUM(G174:Q174)</f>
        <v>0</v>
      </c>
      <c r="G174" s="1151">
        <f>SUM(G161:G173)+G159</f>
        <v>0</v>
      </c>
      <c r="H174" s="1151">
        <f t="shared" ref="H174:Q174" si="210">SUM(H161:H173)+H159</f>
        <v>0</v>
      </c>
      <c r="I174" s="1151">
        <f t="shared" si="210"/>
        <v>0</v>
      </c>
      <c r="J174" s="1151">
        <f t="shared" ref="J174" si="211">SUM(J161:J173)+J159</f>
        <v>0</v>
      </c>
      <c r="K174" s="1151">
        <f>SUM(K161:K173)+K159</f>
        <v>0</v>
      </c>
      <c r="L174" s="1151">
        <f t="shared" ref="L174" si="212">SUM(L161:L173)+L159</f>
        <v>0</v>
      </c>
      <c r="M174" s="1151">
        <f t="shared" si="210"/>
        <v>0</v>
      </c>
      <c r="N174" s="1151">
        <f>SUM(N161:N173)+N159</f>
        <v>0</v>
      </c>
      <c r="O174" s="1151">
        <f t="shared" si="210"/>
        <v>0</v>
      </c>
      <c r="P174" s="1151">
        <f t="shared" si="210"/>
        <v>0</v>
      </c>
      <c r="Q174" s="1152">
        <f t="shared" si="210"/>
        <v>0</v>
      </c>
    </row>
    <row r="175" spans="1:17" s="896" customFormat="1" ht="15" customHeight="1">
      <c r="A175" s="887"/>
      <c r="B175" s="887"/>
      <c r="C175" s="924"/>
      <c r="D175" s="924"/>
      <c r="E175" s="887"/>
      <c r="F175" s="1153"/>
      <c r="G175" s="915"/>
      <c r="H175" s="915"/>
      <c r="I175" s="915"/>
      <c r="J175" s="915"/>
      <c r="K175" s="915"/>
      <c r="L175" s="915"/>
      <c r="M175" s="915"/>
      <c r="N175" s="915"/>
      <c r="O175" s="915"/>
      <c r="P175" s="915"/>
      <c r="Q175" s="915"/>
    </row>
    <row r="176" spans="1:17" s="896" customFormat="1" ht="15" customHeight="1">
      <c r="A176" s="887"/>
      <c r="B176" s="887"/>
      <c r="C176" s="1099" t="s">
        <v>2654</v>
      </c>
      <c r="D176" s="1099"/>
      <c r="E176" s="923"/>
      <c r="F176" s="1042"/>
      <c r="G176" s="1046"/>
      <c r="H176" s="1046"/>
      <c r="I176" s="1046"/>
      <c r="J176" s="1046"/>
      <c r="K176" s="1046"/>
      <c r="L176" s="1046"/>
      <c r="M176" s="1046"/>
      <c r="N176" s="1046"/>
      <c r="O176" s="1046"/>
      <c r="P176" s="1046"/>
      <c r="Q176" s="1100" t="s">
        <v>2655</v>
      </c>
    </row>
    <row r="177" spans="1:17" s="896" customFormat="1" ht="15" customHeight="1">
      <c r="A177" s="887"/>
      <c r="B177" s="887"/>
      <c r="C177" s="930" t="s">
        <v>2656</v>
      </c>
      <c r="D177" s="930"/>
      <c r="E177" s="923"/>
      <c r="F177" s="1042"/>
      <c r="G177" s="1046"/>
      <c r="H177" s="1046"/>
      <c r="I177" s="1046"/>
      <c r="J177" s="1046"/>
      <c r="K177" s="1046"/>
      <c r="L177" s="1046"/>
      <c r="M177" s="1046"/>
      <c r="N177" s="1046"/>
      <c r="O177" s="1046"/>
      <c r="P177" s="1046"/>
      <c r="Q177" s="1100"/>
    </row>
    <row r="178" spans="1:17" s="896" customFormat="1" ht="15" customHeight="1">
      <c r="A178" s="877"/>
      <c r="B178" s="878"/>
      <c r="C178" s="878"/>
      <c r="D178" s="2616" t="s">
        <v>2635</v>
      </c>
      <c r="E178" s="2616" t="s">
        <v>2636</v>
      </c>
      <c r="F178" s="1092" t="s">
        <v>2517</v>
      </c>
      <c r="G178" s="1093" t="str">
        <f t="shared" ref="G178:Q178" si="213">+G86</f>
        <v>工事1</v>
      </c>
      <c r="H178" s="1093" t="str">
        <f t="shared" si="213"/>
        <v>工事2</v>
      </c>
      <c r="I178" s="1093" t="str">
        <f t="shared" si="213"/>
        <v>工事3</v>
      </c>
      <c r="J178" s="1093" t="str">
        <f t="shared" ref="J178:L178" si="214">+J86</f>
        <v>工事4</v>
      </c>
      <c r="K178" s="1093" t="str">
        <f t="shared" si="214"/>
        <v>工事5</v>
      </c>
      <c r="L178" s="1093" t="str">
        <f t="shared" si="214"/>
        <v>工事6</v>
      </c>
      <c r="M178" s="1093" t="str">
        <f t="shared" si="213"/>
        <v>工事7</v>
      </c>
      <c r="N178" s="1093" t="str">
        <f t="shared" si="213"/>
        <v>工事8</v>
      </c>
      <c r="O178" s="1093">
        <f t="shared" si="213"/>
        <v>0</v>
      </c>
      <c r="P178" s="1093">
        <f t="shared" si="213"/>
        <v>0</v>
      </c>
      <c r="Q178" s="1094">
        <f t="shared" si="213"/>
        <v>0</v>
      </c>
    </row>
    <row r="179" spans="1:17" s="896" customFormat="1" ht="15" customHeight="1">
      <c r="A179" s="2618" t="s">
        <v>2657</v>
      </c>
      <c r="B179" s="2619"/>
      <c r="C179" s="2620"/>
      <c r="D179" s="2617"/>
      <c r="E179" s="2617"/>
      <c r="F179" s="1101"/>
      <c r="G179" s="1102"/>
      <c r="H179" s="1102"/>
      <c r="I179" s="1102"/>
      <c r="J179" s="1102"/>
      <c r="K179" s="1102"/>
      <c r="L179" s="1102"/>
      <c r="M179" s="1102"/>
      <c r="N179" s="1102"/>
      <c r="O179" s="1102"/>
      <c r="P179" s="1102"/>
      <c r="Q179" s="1103"/>
    </row>
    <row r="180" spans="1:17" s="896" customFormat="1" ht="15" customHeight="1">
      <c r="A180" s="2621"/>
      <c r="B180" s="1104" t="s">
        <v>2658</v>
      </c>
      <c r="C180" s="1105"/>
      <c r="D180" s="1106"/>
      <c r="E180" s="1107"/>
      <c r="F180" s="1108">
        <f t="shared" ref="F180:F187" si="215">SUM(G180:Q180)</f>
        <v>0</v>
      </c>
      <c r="G180" s="1109">
        <f>+G91-G135-G134-G130-G131</f>
        <v>0</v>
      </c>
      <c r="H180" s="1109">
        <f t="shared" ref="H180:Q180" si="216">+H91-H135-H134-H130-H131</f>
        <v>0</v>
      </c>
      <c r="I180" s="1109">
        <f t="shared" si="216"/>
        <v>0</v>
      </c>
      <c r="J180" s="1109">
        <f t="shared" ref="J180" si="217">+J91-J135-J134-J130-J131</f>
        <v>0</v>
      </c>
      <c r="K180" s="1109">
        <f>+K91-K135-K134-K130-K131</f>
        <v>0</v>
      </c>
      <c r="L180" s="1109">
        <f t="shared" ref="L180" si="218">+L91-L135-L134-L130-L131</f>
        <v>0</v>
      </c>
      <c r="M180" s="1109">
        <f t="shared" si="216"/>
        <v>0</v>
      </c>
      <c r="N180" s="1109">
        <f>+N91-N135-N134-N130-N131</f>
        <v>0</v>
      </c>
      <c r="O180" s="1109">
        <f t="shared" si="216"/>
        <v>0</v>
      </c>
      <c r="P180" s="1109">
        <f t="shared" si="216"/>
        <v>0</v>
      </c>
      <c r="Q180" s="1122">
        <f t="shared" si="216"/>
        <v>0</v>
      </c>
    </row>
    <row r="181" spans="1:17" s="896" customFormat="1" ht="15" customHeight="1">
      <c r="A181" s="2622"/>
      <c r="B181" s="2607" t="s">
        <v>2541</v>
      </c>
      <c r="C181" s="1110" t="s">
        <v>2542</v>
      </c>
      <c r="D181" s="1111">
        <v>1</v>
      </c>
      <c r="E181" s="1112" t="s">
        <v>2639</v>
      </c>
      <c r="F181" s="911">
        <f t="shared" si="215"/>
        <v>0</v>
      </c>
      <c r="G181" s="912">
        <f>IF(G117&gt;=G118,+G117+G159+G98-G99-G100-G135,G117+G159)</f>
        <v>0</v>
      </c>
      <c r="H181" s="912">
        <f t="shared" ref="H181:Q181" si="219">IF(H117&gt;=H118,+H117+H159+H98-H99-H100-H135,H117+H159)</f>
        <v>0</v>
      </c>
      <c r="I181" s="912">
        <f t="shared" si="219"/>
        <v>0</v>
      </c>
      <c r="J181" s="912">
        <f t="shared" ref="J181:L181" si="220">IF(J117&gt;=J118,+J117+J159+J98-J99-J100-J135,J117+J159)</f>
        <v>0</v>
      </c>
      <c r="K181" s="912">
        <f t="shared" si="220"/>
        <v>0</v>
      </c>
      <c r="L181" s="912">
        <f t="shared" si="220"/>
        <v>0</v>
      </c>
      <c r="M181" s="912">
        <f t="shared" si="219"/>
        <v>0</v>
      </c>
      <c r="N181" s="912">
        <f t="shared" si="219"/>
        <v>0</v>
      </c>
      <c r="O181" s="912">
        <f t="shared" si="219"/>
        <v>0</v>
      </c>
      <c r="P181" s="912">
        <f t="shared" si="219"/>
        <v>0</v>
      </c>
      <c r="Q181" s="913">
        <f t="shared" si="219"/>
        <v>0</v>
      </c>
    </row>
    <row r="182" spans="1:17" s="896" customFormat="1" ht="15" customHeight="1">
      <c r="A182" s="2622"/>
      <c r="B182" s="2605"/>
      <c r="C182" s="1110" t="s">
        <v>2543</v>
      </c>
      <c r="D182" s="1111">
        <v>1</v>
      </c>
      <c r="E182" s="1112" t="s">
        <v>2639</v>
      </c>
      <c r="F182" s="911">
        <f t="shared" si="215"/>
        <v>0</v>
      </c>
      <c r="G182" s="912">
        <f>IF(G117&gt;=G118,+G118+G161,G118+G161+G98-G99-G100-G135)</f>
        <v>0</v>
      </c>
      <c r="H182" s="912">
        <f t="shared" ref="H182:Q182" si="221">IF(H117&gt;=H118,+H118+H161,H118+H161+H98-H99-H100-H135)</f>
        <v>0</v>
      </c>
      <c r="I182" s="912">
        <f t="shared" si="221"/>
        <v>0</v>
      </c>
      <c r="J182" s="912">
        <f t="shared" ref="J182:L182" si="222">IF(J117&gt;=J118,+J118+J161,J118+J161+J98-J99-J100-J135)</f>
        <v>0</v>
      </c>
      <c r="K182" s="912">
        <f t="shared" si="222"/>
        <v>0</v>
      </c>
      <c r="L182" s="912">
        <f t="shared" si="222"/>
        <v>0</v>
      </c>
      <c r="M182" s="912">
        <f t="shared" si="221"/>
        <v>0</v>
      </c>
      <c r="N182" s="912">
        <f t="shared" si="221"/>
        <v>0</v>
      </c>
      <c r="O182" s="912">
        <f t="shared" si="221"/>
        <v>0</v>
      </c>
      <c r="P182" s="912">
        <f t="shared" si="221"/>
        <v>0</v>
      </c>
      <c r="Q182" s="913">
        <f t="shared" si="221"/>
        <v>0</v>
      </c>
    </row>
    <row r="183" spans="1:17" s="896" customFormat="1" ht="15" customHeight="1">
      <c r="A183" s="2622"/>
      <c r="B183" s="2605"/>
      <c r="C183" s="1110" t="s">
        <v>2640</v>
      </c>
      <c r="D183" s="1111">
        <v>1</v>
      </c>
      <c r="E183" s="1112" t="s">
        <v>2639</v>
      </c>
      <c r="F183" s="911">
        <f t="shared" si="215"/>
        <v>0</v>
      </c>
      <c r="G183" s="912">
        <f>+G119+G162</f>
        <v>0</v>
      </c>
      <c r="H183" s="912">
        <f t="shared" ref="H183:Q187" si="223">+H119+H162</f>
        <v>0</v>
      </c>
      <c r="I183" s="912">
        <f t="shared" si="223"/>
        <v>0</v>
      </c>
      <c r="J183" s="912">
        <f t="shared" ref="J183:L183" si="224">+J119+J162</f>
        <v>0</v>
      </c>
      <c r="K183" s="912">
        <f t="shared" si="224"/>
        <v>0</v>
      </c>
      <c r="L183" s="912">
        <f t="shared" si="224"/>
        <v>0</v>
      </c>
      <c r="M183" s="912">
        <f t="shared" si="223"/>
        <v>0</v>
      </c>
      <c r="N183" s="912">
        <f t="shared" si="223"/>
        <v>0</v>
      </c>
      <c r="O183" s="912">
        <f t="shared" si="223"/>
        <v>0</v>
      </c>
      <c r="P183" s="912">
        <f t="shared" si="223"/>
        <v>0</v>
      </c>
      <c r="Q183" s="913">
        <f t="shared" si="223"/>
        <v>0</v>
      </c>
    </row>
    <row r="184" spans="1:17" s="896" customFormat="1" ht="15" customHeight="1">
      <c r="A184" s="2622"/>
      <c r="B184" s="2606"/>
      <c r="C184" s="1110" t="s">
        <v>2641</v>
      </c>
      <c r="D184" s="1111">
        <v>1</v>
      </c>
      <c r="E184" s="1112" t="s">
        <v>2639</v>
      </c>
      <c r="F184" s="911">
        <f t="shared" si="215"/>
        <v>0</v>
      </c>
      <c r="G184" s="912">
        <f>+G120+G163</f>
        <v>0</v>
      </c>
      <c r="H184" s="912">
        <f t="shared" si="223"/>
        <v>0</v>
      </c>
      <c r="I184" s="912">
        <f t="shared" si="223"/>
        <v>0</v>
      </c>
      <c r="J184" s="912">
        <f t="shared" ref="J184:L184" si="225">+J120+J163</f>
        <v>0</v>
      </c>
      <c r="K184" s="912">
        <f t="shared" si="225"/>
        <v>0</v>
      </c>
      <c r="L184" s="912">
        <f t="shared" si="225"/>
        <v>0</v>
      </c>
      <c r="M184" s="912">
        <f t="shared" si="223"/>
        <v>0</v>
      </c>
      <c r="N184" s="912">
        <f t="shared" si="223"/>
        <v>0</v>
      </c>
      <c r="O184" s="912">
        <f t="shared" si="223"/>
        <v>0</v>
      </c>
      <c r="P184" s="912">
        <f t="shared" si="223"/>
        <v>0</v>
      </c>
      <c r="Q184" s="913">
        <f t="shared" si="223"/>
        <v>0</v>
      </c>
    </row>
    <row r="185" spans="1:17" s="896" customFormat="1" ht="15" customHeight="1">
      <c r="A185" s="2622"/>
      <c r="B185" s="2607" t="s">
        <v>2546</v>
      </c>
      <c r="C185" s="1110" t="s">
        <v>2642</v>
      </c>
      <c r="D185" s="1111">
        <v>1</v>
      </c>
      <c r="E185" s="1113">
        <v>0.02</v>
      </c>
      <c r="F185" s="911">
        <f t="shared" si="215"/>
        <v>0</v>
      </c>
      <c r="G185" s="912">
        <f>+G121+G164</f>
        <v>0</v>
      </c>
      <c r="H185" s="912">
        <f t="shared" si="223"/>
        <v>0</v>
      </c>
      <c r="I185" s="912">
        <f t="shared" si="223"/>
        <v>0</v>
      </c>
      <c r="J185" s="912">
        <f t="shared" ref="J185:L185" si="226">+J121+J164</f>
        <v>0</v>
      </c>
      <c r="K185" s="912">
        <f t="shared" si="226"/>
        <v>0</v>
      </c>
      <c r="L185" s="912">
        <f t="shared" si="226"/>
        <v>0</v>
      </c>
      <c r="M185" s="912">
        <f t="shared" si="223"/>
        <v>0</v>
      </c>
      <c r="N185" s="912">
        <f t="shared" si="223"/>
        <v>0</v>
      </c>
      <c r="O185" s="912">
        <f t="shared" si="223"/>
        <v>0</v>
      </c>
      <c r="P185" s="912">
        <f t="shared" si="223"/>
        <v>0</v>
      </c>
      <c r="Q185" s="913">
        <f t="shared" si="223"/>
        <v>0</v>
      </c>
    </row>
    <row r="186" spans="1:17" s="896" customFormat="1" ht="15" customHeight="1">
      <c r="A186" s="2622"/>
      <c r="B186" s="2605"/>
      <c r="C186" s="1110" t="s">
        <v>2643</v>
      </c>
      <c r="D186" s="1111">
        <v>1</v>
      </c>
      <c r="E186" s="1113">
        <v>0.02</v>
      </c>
      <c r="F186" s="911">
        <f t="shared" si="215"/>
        <v>0</v>
      </c>
      <c r="G186" s="912">
        <f>+G122+G165</f>
        <v>0</v>
      </c>
      <c r="H186" s="912">
        <f t="shared" si="223"/>
        <v>0</v>
      </c>
      <c r="I186" s="912">
        <f t="shared" si="223"/>
        <v>0</v>
      </c>
      <c r="J186" s="912">
        <f t="shared" ref="J186:L186" si="227">+J122+J165</f>
        <v>0</v>
      </c>
      <c r="K186" s="912">
        <f t="shared" si="227"/>
        <v>0</v>
      </c>
      <c r="L186" s="912">
        <f t="shared" si="227"/>
        <v>0</v>
      </c>
      <c r="M186" s="912">
        <f t="shared" si="223"/>
        <v>0</v>
      </c>
      <c r="N186" s="912">
        <f t="shared" si="223"/>
        <v>0</v>
      </c>
      <c r="O186" s="912">
        <f t="shared" si="223"/>
        <v>0</v>
      </c>
      <c r="P186" s="912">
        <f t="shared" si="223"/>
        <v>0</v>
      </c>
      <c r="Q186" s="913">
        <f t="shared" si="223"/>
        <v>0</v>
      </c>
    </row>
    <row r="187" spans="1:17" s="896" customFormat="1" ht="15" customHeight="1">
      <c r="A187" s="2622"/>
      <c r="B187" s="2605"/>
      <c r="C187" s="1110" t="s">
        <v>2549</v>
      </c>
      <c r="D187" s="1111">
        <v>1</v>
      </c>
      <c r="E187" s="1113">
        <v>0.02</v>
      </c>
      <c r="F187" s="911">
        <f t="shared" si="215"/>
        <v>0</v>
      </c>
      <c r="G187" s="912">
        <f>+G123+G166</f>
        <v>0</v>
      </c>
      <c r="H187" s="912">
        <f t="shared" si="223"/>
        <v>0</v>
      </c>
      <c r="I187" s="912">
        <f t="shared" si="223"/>
        <v>0</v>
      </c>
      <c r="J187" s="912">
        <f t="shared" ref="J187:L187" si="228">+J123+J166</f>
        <v>0</v>
      </c>
      <c r="K187" s="912">
        <f t="shared" si="228"/>
        <v>0</v>
      </c>
      <c r="L187" s="912">
        <f t="shared" si="228"/>
        <v>0</v>
      </c>
      <c r="M187" s="912">
        <f t="shared" si="223"/>
        <v>0</v>
      </c>
      <c r="N187" s="912">
        <f t="shared" si="223"/>
        <v>0</v>
      </c>
      <c r="O187" s="912">
        <f t="shared" si="223"/>
        <v>0</v>
      </c>
      <c r="P187" s="912">
        <f t="shared" si="223"/>
        <v>0</v>
      </c>
      <c r="Q187" s="913">
        <f t="shared" si="223"/>
        <v>0</v>
      </c>
    </row>
    <row r="188" spans="1:17" s="896" customFormat="1" ht="15" customHeight="1">
      <c r="A188" s="2622"/>
      <c r="B188" s="2605"/>
      <c r="C188" s="1110" t="s">
        <v>2629</v>
      </c>
      <c r="D188" s="1111"/>
      <c r="E188" s="1113"/>
      <c r="F188" s="911"/>
      <c r="G188" s="912"/>
      <c r="H188" s="912"/>
      <c r="I188" s="912"/>
      <c r="J188" s="912"/>
      <c r="K188" s="912"/>
      <c r="L188" s="912"/>
      <c r="M188" s="912"/>
      <c r="N188" s="912"/>
      <c r="O188" s="912"/>
      <c r="P188" s="912"/>
      <c r="Q188" s="913"/>
    </row>
    <row r="189" spans="1:17" s="896" customFormat="1" ht="15" customHeight="1">
      <c r="A189" s="2622"/>
      <c r="B189" s="2605"/>
      <c r="C189" s="1110" t="s">
        <v>2551</v>
      </c>
      <c r="D189" s="1111"/>
      <c r="E189" s="1113"/>
      <c r="F189" s="911"/>
      <c r="G189" s="912"/>
      <c r="H189" s="912"/>
      <c r="I189" s="912"/>
      <c r="J189" s="912"/>
      <c r="K189" s="912"/>
      <c r="L189" s="912"/>
      <c r="M189" s="912"/>
      <c r="N189" s="912"/>
      <c r="O189" s="912"/>
      <c r="P189" s="912"/>
      <c r="Q189" s="913"/>
    </row>
    <row r="190" spans="1:17" s="896" customFormat="1" ht="15" customHeight="1">
      <c r="A190" s="2622"/>
      <c r="B190" s="2605"/>
      <c r="C190" s="1110" t="s">
        <v>2552</v>
      </c>
      <c r="D190" s="1111">
        <v>1</v>
      </c>
      <c r="E190" s="1113">
        <v>0.02</v>
      </c>
      <c r="F190" s="911">
        <f>SUM(G190:Q190)</f>
        <v>0</v>
      </c>
      <c r="G190" s="912">
        <f t="shared" ref="G190:Q193" si="229">+G126+G169</f>
        <v>0</v>
      </c>
      <c r="H190" s="912">
        <f t="shared" si="229"/>
        <v>0</v>
      </c>
      <c r="I190" s="912">
        <f t="shared" si="229"/>
        <v>0</v>
      </c>
      <c r="J190" s="912">
        <f t="shared" ref="J190:L190" si="230">+J126+J169</f>
        <v>0</v>
      </c>
      <c r="K190" s="912">
        <f t="shared" si="230"/>
        <v>0</v>
      </c>
      <c r="L190" s="912">
        <f t="shared" si="230"/>
        <v>0</v>
      </c>
      <c r="M190" s="912">
        <f t="shared" si="229"/>
        <v>0</v>
      </c>
      <c r="N190" s="912">
        <f t="shared" si="229"/>
        <v>0</v>
      </c>
      <c r="O190" s="912">
        <f t="shared" si="229"/>
        <v>0</v>
      </c>
      <c r="P190" s="912">
        <f t="shared" si="229"/>
        <v>0</v>
      </c>
      <c r="Q190" s="913">
        <f t="shared" si="229"/>
        <v>0</v>
      </c>
    </row>
    <row r="191" spans="1:17" s="896" customFormat="1" ht="15" customHeight="1">
      <c r="A191" s="2622"/>
      <c r="B191" s="2605"/>
      <c r="C191" s="1114" t="s">
        <v>2630</v>
      </c>
      <c r="D191" s="1111">
        <v>1</v>
      </c>
      <c r="E191" s="1113">
        <v>0.02</v>
      </c>
      <c r="F191" s="911">
        <f>SUM(G191:Q191)</f>
        <v>0</v>
      </c>
      <c r="G191" s="912">
        <f t="shared" si="229"/>
        <v>0</v>
      </c>
      <c r="H191" s="912">
        <f t="shared" si="229"/>
        <v>0</v>
      </c>
      <c r="I191" s="912">
        <f t="shared" si="229"/>
        <v>0</v>
      </c>
      <c r="J191" s="912">
        <f t="shared" ref="J191:L191" si="231">+J127+J170</f>
        <v>0</v>
      </c>
      <c r="K191" s="912">
        <f t="shared" si="231"/>
        <v>0</v>
      </c>
      <c r="L191" s="912">
        <f t="shared" si="231"/>
        <v>0</v>
      </c>
      <c r="M191" s="912">
        <f t="shared" si="229"/>
        <v>0</v>
      </c>
      <c r="N191" s="912">
        <f t="shared" si="229"/>
        <v>0</v>
      </c>
      <c r="O191" s="912">
        <f t="shared" si="229"/>
        <v>0</v>
      </c>
      <c r="P191" s="912">
        <f t="shared" si="229"/>
        <v>0</v>
      </c>
      <c r="Q191" s="913">
        <f t="shared" si="229"/>
        <v>0</v>
      </c>
    </row>
    <row r="192" spans="1:17" s="896" customFormat="1" ht="14.25" customHeight="1">
      <c r="A192" s="2622"/>
      <c r="B192" s="2605"/>
      <c r="C192" s="1114" t="s">
        <v>2631</v>
      </c>
      <c r="D192" s="1111">
        <v>1</v>
      </c>
      <c r="E192" s="1113">
        <v>0.02</v>
      </c>
      <c r="F192" s="911">
        <f>SUM(G192:Q192)</f>
        <v>0</v>
      </c>
      <c r="G192" s="912">
        <f t="shared" si="229"/>
        <v>0</v>
      </c>
      <c r="H192" s="912">
        <f t="shared" si="229"/>
        <v>0</v>
      </c>
      <c r="I192" s="912">
        <f t="shared" si="229"/>
        <v>0</v>
      </c>
      <c r="J192" s="912">
        <f t="shared" ref="J192:L192" si="232">+J128+J171</f>
        <v>0</v>
      </c>
      <c r="K192" s="912">
        <f t="shared" si="232"/>
        <v>0</v>
      </c>
      <c r="L192" s="912">
        <f t="shared" si="232"/>
        <v>0</v>
      </c>
      <c r="M192" s="912">
        <f t="shared" si="229"/>
        <v>0</v>
      </c>
      <c r="N192" s="912">
        <f t="shared" si="229"/>
        <v>0</v>
      </c>
      <c r="O192" s="912">
        <f t="shared" si="229"/>
        <v>0</v>
      </c>
      <c r="P192" s="912">
        <f t="shared" si="229"/>
        <v>0</v>
      </c>
      <c r="Q192" s="913">
        <f t="shared" si="229"/>
        <v>0</v>
      </c>
    </row>
    <row r="193" spans="1:17" s="896" customFormat="1" ht="14.25" customHeight="1">
      <c r="A193" s="2622"/>
      <c r="B193" s="2606"/>
      <c r="C193" s="1110" t="s">
        <v>2555</v>
      </c>
      <c r="D193" s="1111">
        <v>1</v>
      </c>
      <c r="E193" s="1113">
        <v>0.02</v>
      </c>
      <c r="F193" s="911">
        <f>SUM(G193:Q193)</f>
        <v>0</v>
      </c>
      <c r="G193" s="912">
        <f t="shared" si="229"/>
        <v>0</v>
      </c>
      <c r="H193" s="912">
        <f t="shared" si="229"/>
        <v>0</v>
      </c>
      <c r="I193" s="912">
        <f t="shared" si="229"/>
        <v>0</v>
      </c>
      <c r="J193" s="912">
        <f t="shared" ref="J193:L193" si="233">+J129+J172</f>
        <v>0</v>
      </c>
      <c r="K193" s="912">
        <f t="shared" si="233"/>
        <v>0</v>
      </c>
      <c r="L193" s="912">
        <f t="shared" si="233"/>
        <v>0</v>
      </c>
      <c r="M193" s="912">
        <f t="shared" si="229"/>
        <v>0</v>
      </c>
      <c r="N193" s="912">
        <f t="shared" si="229"/>
        <v>0</v>
      </c>
      <c r="O193" s="912">
        <f t="shared" si="229"/>
        <v>0</v>
      </c>
      <c r="P193" s="912">
        <f t="shared" si="229"/>
        <v>0</v>
      </c>
      <c r="Q193" s="913">
        <f t="shared" si="229"/>
        <v>0</v>
      </c>
    </row>
    <row r="194" spans="1:17" s="896" customFormat="1" ht="14.25" customHeight="1">
      <c r="A194" s="2623"/>
      <c r="B194" s="1115" t="s">
        <v>2644</v>
      </c>
      <c r="C194" s="1154" t="s">
        <v>2659</v>
      </c>
      <c r="D194" s="1117">
        <v>1</v>
      </c>
      <c r="E194" s="1118">
        <v>0</v>
      </c>
      <c r="F194" s="946">
        <f>SUM(G194:Q194)</f>
        <v>388791162</v>
      </c>
      <c r="G194" s="1073">
        <f>SUM(G130:G136)</f>
        <v>33425885</v>
      </c>
      <c r="H194" s="1073">
        <f t="shared" ref="H194:Q194" si="234">SUM(H130:H136)</f>
        <v>22318883</v>
      </c>
      <c r="I194" s="1073">
        <f t="shared" si="234"/>
        <v>2131661</v>
      </c>
      <c r="J194" s="1073">
        <f t="shared" ref="J194" si="235">SUM(J130:J136)</f>
        <v>107929486</v>
      </c>
      <c r="K194" s="1073">
        <f>SUM(K130:K136)</f>
        <v>10208163</v>
      </c>
      <c r="L194" s="1073">
        <f t="shared" ref="L194" si="236">SUM(L130:L136)</f>
        <v>44795961</v>
      </c>
      <c r="M194" s="1073">
        <f t="shared" si="234"/>
        <v>28913934</v>
      </c>
      <c r="N194" s="1073">
        <f>SUM(N130:N136)</f>
        <v>139067189</v>
      </c>
      <c r="O194" s="1073">
        <f t="shared" si="234"/>
        <v>0</v>
      </c>
      <c r="P194" s="1073">
        <f t="shared" si="234"/>
        <v>0</v>
      </c>
      <c r="Q194" s="1074">
        <f t="shared" si="234"/>
        <v>0</v>
      </c>
    </row>
    <row r="195" spans="1:17" s="896" customFormat="1" ht="14.25" customHeight="1">
      <c r="A195" s="1119"/>
      <c r="B195" s="1120"/>
      <c r="C195" s="1121"/>
      <c r="D195" s="2624"/>
      <c r="E195" s="2624"/>
      <c r="F195" s="1108"/>
      <c r="G195" s="1109"/>
      <c r="H195" s="1109"/>
      <c r="I195" s="1109"/>
      <c r="J195" s="1109"/>
      <c r="K195" s="1109"/>
      <c r="L195" s="1109"/>
      <c r="M195" s="1109"/>
      <c r="N195" s="1109"/>
      <c r="O195" s="1109"/>
      <c r="P195" s="1109"/>
      <c r="Q195" s="1122"/>
    </row>
    <row r="196" spans="1:17" s="896" customFormat="1" ht="14.25" customHeight="1">
      <c r="A196" s="2618" t="s">
        <v>2660</v>
      </c>
      <c r="B196" s="2619"/>
      <c r="C196" s="2620"/>
      <c r="D196" s="2625"/>
      <c r="E196" s="2625"/>
      <c r="F196" s="1101"/>
      <c r="G196" s="1102"/>
      <c r="H196" s="1102"/>
      <c r="I196" s="1102"/>
      <c r="J196" s="1102"/>
      <c r="K196" s="1102"/>
      <c r="L196" s="1102"/>
      <c r="M196" s="1102"/>
      <c r="N196" s="1102"/>
      <c r="O196" s="1102"/>
      <c r="P196" s="1102"/>
      <c r="Q196" s="1103"/>
    </row>
    <row r="197" spans="1:17" s="896" customFormat="1" ht="14.25" customHeight="1">
      <c r="A197" s="2621"/>
      <c r="B197" s="2604" t="s">
        <v>2541</v>
      </c>
      <c r="C197" s="1123" t="s">
        <v>2542</v>
      </c>
      <c r="D197" s="1124"/>
      <c r="E197" s="1125" t="s">
        <v>2639</v>
      </c>
      <c r="F197" s="1126" t="s">
        <v>2647</v>
      </c>
      <c r="G197" s="1127">
        <f>IF(G181=0,0,+G282/100)</f>
        <v>0</v>
      </c>
      <c r="H197" s="1127">
        <f t="shared" ref="H197:Q197" si="237">IF(H181=0,0,+H282/100)</f>
        <v>0</v>
      </c>
      <c r="I197" s="1127">
        <f t="shared" si="237"/>
        <v>0</v>
      </c>
      <c r="J197" s="1127">
        <f t="shared" ref="J197" si="238">IF(J181=0,0,+J282/100)</f>
        <v>0</v>
      </c>
      <c r="K197" s="1127">
        <f>IF(K181=0,0,+K282/100)</f>
        <v>0</v>
      </c>
      <c r="L197" s="1127">
        <f t="shared" ref="L197" si="239">IF(L181=0,0,+L282/100)</f>
        <v>0</v>
      </c>
      <c r="M197" s="1127">
        <f t="shared" si="237"/>
        <v>0</v>
      </c>
      <c r="N197" s="1127">
        <f>IF(N181=0,0,+N282/100)</f>
        <v>0</v>
      </c>
      <c r="O197" s="1127">
        <f t="shared" si="237"/>
        <v>0</v>
      </c>
      <c r="P197" s="1127">
        <f t="shared" si="237"/>
        <v>0</v>
      </c>
      <c r="Q197" s="1128">
        <f t="shared" si="237"/>
        <v>0</v>
      </c>
    </row>
    <row r="198" spans="1:17" s="896" customFormat="1" ht="14.25" customHeight="1">
      <c r="A198" s="2622"/>
      <c r="B198" s="2605"/>
      <c r="C198" s="1129"/>
      <c r="D198" s="1130">
        <f>+D181</f>
        <v>1</v>
      </c>
      <c r="E198" s="1131" t="s">
        <v>2639</v>
      </c>
      <c r="F198" s="1064">
        <f>SUM(G198:Q198)</f>
        <v>0</v>
      </c>
      <c r="G198" s="1080">
        <f>ROUNDDOWN(G181*G197*$D198,0)</f>
        <v>0</v>
      </c>
      <c r="H198" s="1080">
        <f t="shared" ref="H198:Q198" si="240">ROUNDDOWN(H181*H197*$D198,0)</f>
        <v>0</v>
      </c>
      <c r="I198" s="1080">
        <f t="shared" si="240"/>
        <v>0</v>
      </c>
      <c r="J198" s="1080">
        <f t="shared" ref="J198" si="241">ROUNDDOWN(J181*J197*$D198,0)</f>
        <v>0</v>
      </c>
      <c r="K198" s="1080">
        <f>ROUNDDOWN(K181*K197*$D198,0)</f>
        <v>0</v>
      </c>
      <c r="L198" s="1080">
        <f t="shared" ref="L198" si="242">ROUNDDOWN(L181*L197*$D198,0)</f>
        <v>0</v>
      </c>
      <c r="M198" s="1080">
        <f t="shared" si="240"/>
        <v>0</v>
      </c>
      <c r="N198" s="1080">
        <f>ROUNDDOWN(N181*N197*$D198,0)</f>
        <v>0</v>
      </c>
      <c r="O198" s="1080">
        <f t="shared" si="240"/>
        <v>0</v>
      </c>
      <c r="P198" s="1080">
        <f t="shared" si="240"/>
        <v>0</v>
      </c>
      <c r="Q198" s="1081">
        <f t="shared" si="240"/>
        <v>0</v>
      </c>
    </row>
    <row r="199" spans="1:17" s="896" customFormat="1" ht="14.25" customHeight="1">
      <c r="A199" s="2622"/>
      <c r="B199" s="2605"/>
      <c r="C199" s="1132" t="s">
        <v>2543</v>
      </c>
      <c r="D199" s="1133"/>
      <c r="E199" s="1131" t="s">
        <v>2639</v>
      </c>
      <c r="F199" s="1134" t="s">
        <v>2647</v>
      </c>
      <c r="G199" s="1155">
        <f>IF(G182=0,0,+G290/100)</f>
        <v>0</v>
      </c>
      <c r="H199" s="1135">
        <f t="shared" ref="H199:Q199" si="243">IF(H182=0,0,+H290/100)</f>
        <v>0</v>
      </c>
      <c r="I199" s="1135">
        <f t="shared" si="243"/>
        <v>0</v>
      </c>
      <c r="J199" s="1135">
        <f t="shared" ref="J199" si="244">IF(J182=0,0,+J290/100)</f>
        <v>0</v>
      </c>
      <c r="K199" s="1135">
        <f>IF(K182=0,0,+K290/100)</f>
        <v>0</v>
      </c>
      <c r="L199" s="1135">
        <f t="shared" ref="L199" si="245">IF(L182=0,0,+L290/100)</f>
        <v>0</v>
      </c>
      <c r="M199" s="1135">
        <f t="shared" si="243"/>
        <v>0</v>
      </c>
      <c r="N199" s="1135">
        <f>IF(N182=0,0,+N290/100)</f>
        <v>0</v>
      </c>
      <c r="O199" s="1135">
        <f t="shared" si="243"/>
        <v>0</v>
      </c>
      <c r="P199" s="1135">
        <f t="shared" si="243"/>
        <v>0</v>
      </c>
      <c r="Q199" s="1136">
        <f t="shared" si="243"/>
        <v>0</v>
      </c>
    </row>
    <row r="200" spans="1:17" s="896" customFormat="1" ht="14.25" customHeight="1">
      <c r="A200" s="2622"/>
      <c r="B200" s="2605"/>
      <c r="C200" s="1129"/>
      <c r="D200" s="1137">
        <f t="shared" ref="D200:D205" si="246">+D182</f>
        <v>1</v>
      </c>
      <c r="E200" s="1131" t="s">
        <v>2639</v>
      </c>
      <c r="F200" s="1064">
        <f t="shared" ref="F200:F205" si="247">SUM(G200:Q200)</f>
        <v>0</v>
      </c>
      <c r="G200" s="1080">
        <f>ROUNDDOWN(G182*G199*$D200,0)</f>
        <v>0</v>
      </c>
      <c r="H200" s="1080">
        <f t="shared" ref="H200:Q200" si="248">ROUNDDOWN(H182*H199*$D200,0)</f>
        <v>0</v>
      </c>
      <c r="I200" s="1080">
        <f t="shared" si="248"/>
        <v>0</v>
      </c>
      <c r="J200" s="1080">
        <f t="shared" ref="J200" si="249">ROUNDDOWN(J182*J199*$D200,0)</f>
        <v>0</v>
      </c>
      <c r="K200" s="1080">
        <f>ROUNDDOWN(K182*K199*$D200,0)</f>
        <v>0</v>
      </c>
      <c r="L200" s="1080">
        <f t="shared" ref="L200" si="250">ROUNDDOWN(L182*L199*$D200,0)</f>
        <v>0</v>
      </c>
      <c r="M200" s="1080">
        <f t="shared" si="248"/>
        <v>0</v>
      </c>
      <c r="N200" s="1080">
        <f>ROUNDDOWN(N182*N199*$D200,0)</f>
        <v>0</v>
      </c>
      <c r="O200" s="1080">
        <f t="shared" si="248"/>
        <v>0</v>
      </c>
      <c r="P200" s="1080">
        <f t="shared" si="248"/>
        <v>0</v>
      </c>
      <c r="Q200" s="1081">
        <f t="shared" si="248"/>
        <v>0</v>
      </c>
    </row>
    <row r="201" spans="1:17" s="896" customFormat="1" ht="14.25" customHeight="1">
      <c r="A201" s="2622"/>
      <c r="B201" s="2605"/>
      <c r="C201" s="1110" t="s">
        <v>2565</v>
      </c>
      <c r="D201" s="1138">
        <f t="shared" si="246"/>
        <v>1</v>
      </c>
      <c r="E201" s="1131" t="s">
        <v>2639</v>
      </c>
      <c r="F201" s="1064">
        <f t="shared" si="247"/>
        <v>0</v>
      </c>
      <c r="G201" s="1080">
        <f t="shared" ref="G201:Q201" si="251">ROUNDDOWN(G183*G197*$D201,0)</f>
        <v>0</v>
      </c>
      <c r="H201" s="1080">
        <f t="shared" si="251"/>
        <v>0</v>
      </c>
      <c r="I201" s="1080">
        <f t="shared" si="251"/>
        <v>0</v>
      </c>
      <c r="J201" s="1080">
        <f t="shared" ref="J201" si="252">ROUNDDOWN(J183*J197*$D201,0)</f>
        <v>0</v>
      </c>
      <c r="K201" s="1080">
        <f>ROUNDDOWN(K183*K197*$D201,0)</f>
        <v>0</v>
      </c>
      <c r="L201" s="1080">
        <f t="shared" ref="L201" si="253">ROUNDDOWN(L183*L197*$D201,0)</f>
        <v>0</v>
      </c>
      <c r="M201" s="1080">
        <f t="shared" si="251"/>
        <v>0</v>
      </c>
      <c r="N201" s="1080">
        <f>ROUNDDOWN(N183*N197*$D201,0)</f>
        <v>0</v>
      </c>
      <c r="O201" s="1080">
        <f t="shared" si="251"/>
        <v>0</v>
      </c>
      <c r="P201" s="1080">
        <f t="shared" si="251"/>
        <v>0</v>
      </c>
      <c r="Q201" s="1081">
        <f t="shared" si="251"/>
        <v>0</v>
      </c>
    </row>
    <row r="202" spans="1:17" s="896" customFormat="1" ht="14.25" customHeight="1">
      <c r="A202" s="2622"/>
      <c r="B202" s="2606"/>
      <c r="C202" s="1110" t="s">
        <v>2566</v>
      </c>
      <c r="D202" s="1138">
        <f t="shared" si="246"/>
        <v>1</v>
      </c>
      <c r="E202" s="1131" t="s">
        <v>2639</v>
      </c>
      <c r="F202" s="1064">
        <f t="shared" si="247"/>
        <v>0</v>
      </c>
      <c r="G202" s="1080">
        <f>ROUNDDOWN(G184*G199*$D202,0)</f>
        <v>0</v>
      </c>
      <c r="H202" s="1080">
        <f t="shared" ref="H202:Q202" si="254">ROUNDDOWN(H184*H199*$D202,0)</f>
        <v>0</v>
      </c>
      <c r="I202" s="1080">
        <f t="shared" si="254"/>
        <v>0</v>
      </c>
      <c r="J202" s="1080">
        <f t="shared" ref="J202" si="255">ROUNDDOWN(J184*J199*$D202,0)</f>
        <v>0</v>
      </c>
      <c r="K202" s="1080">
        <f>ROUNDDOWN(K184*K199*$D202,0)</f>
        <v>0</v>
      </c>
      <c r="L202" s="1080">
        <f t="shared" ref="L202" si="256">ROUNDDOWN(L184*L199*$D202,0)</f>
        <v>0</v>
      </c>
      <c r="M202" s="1080">
        <f t="shared" si="254"/>
        <v>0</v>
      </c>
      <c r="N202" s="1080">
        <f>ROUNDDOWN(N184*N199*$D202,0)</f>
        <v>0</v>
      </c>
      <c r="O202" s="1080">
        <f t="shared" si="254"/>
        <v>0</v>
      </c>
      <c r="P202" s="1080">
        <f t="shared" si="254"/>
        <v>0</v>
      </c>
      <c r="Q202" s="1081">
        <f t="shared" si="254"/>
        <v>0</v>
      </c>
    </row>
    <row r="203" spans="1:17" s="896" customFormat="1" ht="14.25" customHeight="1">
      <c r="A203" s="2622"/>
      <c r="B203" s="2607" t="s">
        <v>2546</v>
      </c>
      <c r="C203" s="1110" t="s">
        <v>2642</v>
      </c>
      <c r="D203" s="1138">
        <f t="shared" si="246"/>
        <v>1</v>
      </c>
      <c r="E203" s="1113">
        <f>+E185</f>
        <v>0.02</v>
      </c>
      <c r="F203" s="1064">
        <f t="shared" si="247"/>
        <v>0</v>
      </c>
      <c r="G203" s="1080">
        <f t="shared" ref="G203:Q205" si="257">ROUNDDOWN(G185*$E203*$D203,0)</f>
        <v>0</v>
      </c>
      <c r="H203" s="1080">
        <f t="shared" si="257"/>
        <v>0</v>
      </c>
      <c r="I203" s="1080">
        <f t="shared" si="257"/>
        <v>0</v>
      </c>
      <c r="J203" s="1080">
        <f t="shared" ref="J203:L203" si="258">ROUNDDOWN(J185*$E203*$D203,0)</f>
        <v>0</v>
      </c>
      <c r="K203" s="1080">
        <f t="shared" si="258"/>
        <v>0</v>
      </c>
      <c r="L203" s="1080">
        <f t="shared" si="258"/>
        <v>0</v>
      </c>
      <c r="M203" s="1080">
        <f t="shared" si="257"/>
        <v>0</v>
      </c>
      <c r="N203" s="1080">
        <f t="shared" si="257"/>
        <v>0</v>
      </c>
      <c r="O203" s="1080">
        <f t="shared" si="257"/>
        <v>0</v>
      </c>
      <c r="P203" s="1080">
        <f t="shared" si="257"/>
        <v>0</v>
      </c>
      <c r="Q203" s="1081">
        <f t="shared" si="257"/>
        <v>0</v>
      </c>
    </row>
    <row r="204" spans="1:17" s="896" customFormat="1" ht="14.25" customHeight="1">
      <c r="A204" s="2622"/>
      <c r="B204" s="2605"/>
      <c r="C204" s="1110" t="s">
        <v>2648</v>
      </c>
      <c r="D204" s="1138">
        <f t="shared" si="246"/>
        <v>1</v>
      </c>
      <c r="E204" s="1113">
        <f>+E186</f>
        <v>0.02</v>
      </c>
      <c r="F204" s="1064">
        <f t="shared" si="247"/>
        <v>0</v>
      </c>
      <c r="G204" s="1080">
        <f t="shared" si="257"/>
        <v>0</v>
      </c>
      <c r="H204" s="1080">
        <f t="shared" si="257"/>
        <v>0</v>
      </c>
      <c r="I204" s="1080">
        <f t="shared" si="257"/>
        <v>0</v>
      </c>
      <c r="J204" s="1080">
        <f t="shared" ref="J204" si="259">ROUNDDOWN(J186*$E204*$D204,0)</f>
        <v>0</v>
      </c>
      <c r="K204" s="1080">
        <f>ROUNDDOWN(K186*$E204*$D204,0)</f>
        <v>0</v>
      </c>
      <c r="L204" s="1080">
        <f t="shared" ref="L204" si="260">ROUNDDOWN(L186*$E204*$D204,0)</f>
        <v>0</v>
      </c>
      <c r="M204" s="1080">
        <f t="shared" si="257"/>
        <v>0</v>
      </c>
      <c r="N204" s="1080">
        <f>ROUNDDOWN(N186*$E204*$D204,0)</f>
        <v>0</v>
      </c>
      <c r="O204" s="1080">
        <f t="shared" si="257"/>
        <v>0</v>
      </c>
      <c r="P204" s="1080">
        <f t="shared" si="257"/>
        <v>0</v>
      </c>
      <c r="Q204" s="1081">
        <f t="shared" si="257"/>
        <v>0</v>
      </c>
    </row>
    <row r="205" spans="1:17" s="896" customFormat="1" ht="14.25" customHeight="1">
      <c r="A205" s="2622"/>
      <c r="B205" s="2605"/>
      <c r="C205" s="1110" t="s">
        <v>2549</v>
      </c>
      <c r="D205" s="1138">
        <f t="shared" si="246"/>
        <v>1</v>
      </c>
      <c r="E205" s="1113">
        <f>+E187</f>
        <v>0.02</v>
      </c>
      <c r="F205" s="1064">
        <f t="shared" si="247"/>
        <v>0</v>
      </c>
      <c r="G205" s="1080">
        <f>ROUNDDOWN(G187*$E205*$D205,0)</f>
        <v>0</v>
      </c>
      <c r="H205" s="1080">
        <f t="shared" si="257"/>
        <v>0</v>
      </c>
      <c r="I205" s="1080">
        <f t="shared" si="257"/>
        <v>0</v>
      </c>
      <c r="J205" s="1080">
        <f t="shared" ref="J205" si="261">ROUNDDOWN(J187*$E205*$D205,0)</f>
        <v>0</v>
      </c>
      <c r="K205" s="1080">
        <f>ROUNDDOWN(K187*$E205*$D205,0)</f>
        <v>0</v>
      </c>
      <c r="L205" s="1080">
        <f t="shared" ref="L205" si="262">ROUNDDOWN(L187*$E205*$D205,0)</f>
        <v>0</v>
      </c>
      <c r="M205" s="1080">
        <f t="shared" si="257"/>
        <v>0</v>
      </c>
      <c r="N205" s="1080">
        <f>ROUNDDOWN(N187*$E205*$D205,0)</f>
        <v>0</v>
      </c>
      <c r="O205" s="1080">
        <f t="shared" si="257"/>
        <v>0</v>
      </c>
      <c r="P205" s="1080">
        <f t="shared" si="257"/>
        <v>0</v>
      </c>
      <c r="Q205" s="1081">
        <f t="shared" si="257"/>
        <v>0</v>
      </c>
    </row>
    <row r="206" spans="1:17" s="896" customFormat="1" ht="14.25" customHeight="1">
      <c r="A206" s="2622"/>
      <c r="B206" s="2605"/>
      <c r="C206" s="1110" t="s">
        <v>2629</v>
      </c>
      <c r="D206" s="1138"/>
      <c r="E206" s="1113"/>
      <c r="F206" s="1064"/>
      <c r="G206" s="1080"/>
      <c r="H206" s="1080"/>
      <c r="I206" s="1080"/>
      <c r="J206" s="1080"/>
      <c r="K206" s="1080"/>
      <c r="L206" s="1080"/>
      <c r="M206" s="1080"/>
      <c r="N206" s="1080"/>
      <c r="O206" s="1080"/>
      <c r="P206" s="1080"/>
      <c r="Q206" s="1081"/>
    </row>
    <row r="207" spans="1:17" s="896" customFormat="1" ht="14.25" customHeight="1">
      <c r="A207" s="2622"/>
      <c r="B207" s="2605"/>
      <c r="C207" s="1139"/>
      <c r="D207" s="1138"/>
      <c r="E207" s="1113"/>
      <c r="F207" s="1064"/>
      <c r="G207" s="1080"/>
      <c r="H207" s="1080"/>
      <c r="I207" s="1080"/>
      <c r="J207" s="1080"/>
      <c r="K207" s="1080"/>
      <c r="L207" s="1080"/>
      <c r="M207" s="1080"/>
      <c r="N207" s="1080"/>
      <c r="O207" s="1080"/>
      <c r="P207" s="1080"/>
      <c r="Q207" s="1081"/>
    </row>
    <row r="208" spans="1:17" s="896" customFormat="1" ht="14.25" customHeight="1">
      <c r="A208" s="2622"/>
      <c r="B208" s="2605"/>
      <c r="C208" s="1110" t="s">
        <v>2552</v>
      </c>
      <c r="D208" s="1138">
        <f t="shared" ref="D208:E211" si="263">+D190</f>
        <v>1</v>
      </c>
      <c r="E208" s="1113">
        <f t="shared" si="263"/>
        <v>0.02</v>
      </c>
      <c r="F208" s="1064">
        <f t="shared" ref="F208:F216" si="264">SUM(G208:Q208)</f>
        <v>0</v>
      </c>
      <c r="G208" s="1080">
        <f t="shared" ref="G208:Q211" si="265">ROUNDDOWN(G190*$E208*$D208,0)</f>
        <v>0</v>
      </c>
      <c r="H208" s="1080">
        <f t="shared" si="265"/>
        <v>0</v>
      </c>
      <c r="I208" s="1080">
        <f t="shared" si="265"/>
        <v>0</v>
      </c>
      <c r="J208" s="1080">
        <f t="shared" ref="J208" si="266">ROUNDDOWN(J190*$E208*$D208,0)</f>
        <v>0</v>
      </c>
      <c r="K208" s="1080">
        <f>ROUNDDOWN(K190*$E208*$D208,0)</f>
        <v>0</v>
      </c>
      <c r="L208" s="1080">
        <f t="shared" ref="L208" si="267">ROUNDDOWN(L190*$E208*$D208,0)</f>
        <v>0</v>
      </c>
      <c r="M208" s="1080">
        <f t="shared" si="265"/>
        <v>0</v>
      </c>
      <c r="N208" s="1080">
        <f>ROUNDDOWN(N190*$E208*$D208,0)</f>
        <v>0</v>
      </c>
      <c r="O208" s="1080">
        <f t="shared" si="265"/>
        <v>0</v>
      </c>
      <c r="P208" s="1080">
        <f t="shared" si="265"/>
        <v>0</v>
      </c>
      <c r="Q208" s="1081">
        <f t="shared" si="265"/>
        <v>0</v>
      </c>
    </row>
    <row r="209" spans="1:17" s="896" customFormat="1" ht="14.25" customHeight="1">
      <c r="A209" s="2622"/>
      <c r="B209" s="2605"/>
      <c r="C209" s="1114" t="s">
        <v>2630</v>
      </c>
      <c r="D209" s="1138">
        <f t="shared" si="263"/>
        <v>1</v>
      </c>
      <c r="E209" s="1113">
        <f t="shared" si="263"/>
        <v>0.02</v>
      </c>
      <c r="F209" s="1064">
        <f t="shared" si="264"/>
        <v>0</v>
      </c>
      <c r="G209" s="1080">
        <f t="shared" si="265"/>
        <v>0</v>
      </c>
      <c r="H209" s="1080">
        <f t="shared" si="265"/>
        <v>0</v>
      </c>
      <c r="I209" s="1080">
        <f t="shared" si="265"/>
        <v>0</v>
      </c>
      <c r="J209" s="1080">
        <f t="shared" ref="J209" si="268">ROUNDDOWN(J191*$E209*$D209,0)</f>
        <v>0</v>
      </c>
      <c r="K209" s="1080">
        <f>ROUNDDOWN(K191*$E209*$D209,0)</f>
        <v>0</v>
      </c>
      <c r="L209" s="1080">
        <f t="shared" ref="L209" si="269">ROUNDDOWN(L191*$E209*$D209,0)</f>
        <v>0</v>
      </c>
      <c r="M209" s="1080">
        <f t="shared" si="265"/>
        <v>0</v>
      </c>
      <c r="N209" s="1080">
        <f>ROUNDDOWN(N191*$E209*$D209,0)</f>
        <v>0</v>
      </c>
      <c r="O209" s="1080">
        <f t="shared" si="265"/>
        <v>0</v>
      </c>
      <c r="P209" s="1080">
        <f t="shared" si="265"/>
        <v>0</v>
      </c>
      <c r="Q209" s="1081">
        <f t="shared" si="265"/>
        <v>0</v>
      </c>
    </row>
    <row r="210" spans="1:17" s="896" customFormat="1" ht="14.25" customHeight="1">
      <c r="A210" s="2622"/>
      <c r="B210" s="2605"/>
      <c r="C210" s="1114" t="s">
        <v>2631</v>
      </c>
      <c r="D210" s="1138">
        <f t="shared" si="263"/>
        <v>1</v>
      </c>
      <c r="E210" s="1113">
        <f t="shared" si="263"/>
        <v>0.02</v>
      </c>
      <c r="F210" s="1064">
        <f t="shared" si="264"/>
        <v>0</v>
      </c>
      <c r="G210" s="1080">
        <f t="shared" si="265"/>
        <v>0</v>
      </c>
      <c r="H210" s="1080">
        <f t="shared" si="265"/>
        <v>0</v>
      </c>
      <c r="I210" s="1080">
        <f t="shared" si="265"/>
        <v>0</v>
      </c>
      <c r="J210" s="1080">
        <f t="shared" ref="J210" si="270">ROUNDDOWN(J192*$E210*$D210,0)</f>
        <v>0</v>
      </c>
      <c r="K210" s="1080">
        <f>ROUNDDOWN(K192*$E210*$D210,0)</f>
        <v>0</v>
      </c>
      <c r="L210" s="1080">
        <f t="shared" ref="L210" si="271">ROUNDDOWN(L192*$E210*$D210,0)</f>
        <v>0</v>
      </c>
      <c r="M210" s="1080">
        <f t="shared" si="265"/>
        <v>0</v>
      </c>
      <c r="N210" s="1080">
        <f>ROUNDDOWN(N192*$E210*$D210,0)</f>
        <v>0</v>
      </c>
      <c r="O210" s="1080">
        <f t="shared" si="265"/>
        <v>0</v>
      </c>
      <c r="P210" s="1080">
        <f t="shared" si="265"/>
        <v>0</v>
      </c>
      <c r="Q210" s="1081">
        <f t="shared" si="265"/>
        <v>0</v>
      </c>
    </row>
    <row r="211" spans="1:17" s="896" customFormat="1" ht="14.25" customHeight="1">
      <c r="A211" s="2622"/>
      <c r="B211" s="2606"/>
      <c r="C211" s="1110" t="s">
        <v>2661</v>
      </c>
      <c r="D211" s="1138">
        <f t="shared" si="263"/>
        <v>1</v>
      </c>
      <c r="E211" s="1113">
        <f t="shared" si="263"/>
        <v>0.02</v>
      </c>
      <c r="F211" s="1064">
        <f t="shared" si="264"/>
        <v>0</v>
      </c>
      <c r="G211" s="1080">
        <f>ROUNDDOWN(G193*$E211*$D211,0)</f>
        <v>0</v>
      </c>
      <c r="H211" s="1080">
        <f t="shared" si="265"/>
        <v>0</v>
      </c>
      <c r="I211" s="1080">
        <f t="shared" si="265"/>
        <v>0</v>
      </c>
      <c r="J211" s="1080">
        <f t="shared" ref="J211" si="272">ROUNDDOWN(J193*$E211*$D211,0)</f>
        <v>0</v>
      </c>
      <c r="K211" s="1080">
        <f>ROUNDDOWN(K193*$E211*$D211,0)</f>
        <v>0</v>
      </c>
      <c r="L211" s="1080">
        <f t="shared" ref="L211" si="273">ROUNDDOWN(L193*$E211*$D211,0)</f>
        <v>0</v>
      </c>
      <c r="M211" s="1080">
        <f t="shared" si="265"/>
        <v>0</v>
      </c>
      <c r="N211" s="1080">
        <f>ROUNDDOWN(N193*$E211*$D211,0)</f>
        <v>0</v>
      </c>
      <c r="O211" s="1080">
        <f t="shared" si="265"/>
        <v>0</v>
      </c>
      <c r="P211" s="1080">
        <f t="shared" si="265"/>
        <v>0</v>
      </c>
      <c r="Q211" s="1081">
        <f t="shared" si="265"/>
        <v>0</v>
      </c>
    </row>
    <row r="212" spans="1:17" s="896" customFormat="1" ht="14.25" customHeight="1">
      <c r="A212" s="2622"/>
      <c r="B212" s="2643" t="s">
        <v>2662</v>
      </c>
      <c r="C212" s="1110" t="s">
        <v>2574</v>
      </c>
      <c r="D212" s="1156"/>
      <c r="E212" s="1157"/>
      <c r="F212" s="1064">
        <f t="shared" si="264"/>
        <v>43436477</v>
      </c>
      <c r="G212" s="1158">
        <v>3667017</v>
      </c>
      <c r="H212" s="1158">
        <v>2282113</v>
      </c>
      <c r="I212" s="1158">
        <v>221648</v>
      </c>
      <c r="J212" s="1158">
        <v>12806355</v>
      </c>
      <c r="K212" s="1158">
        <v>1185589</v>
      </c>
      <c r="L212" s="1158">
        <v>4792956</v>
      </c>
      <c r="M212" s="1158">
        <v>2736856</v>
      </c>
      <c r="N212" s="1158">
        <v>15743943</v>
      </c>
      <c r="O212" s="1158"/>
      <c r="P212" s="1158"/>
      <c r="Q212" s="1159"/>
    </row>
    <row r="213" spans="1:17" s="896" customFormat="1" ht="14.25" customHeight="1">
      <c r="A213" s="2622"/>
      <c r="B213" s="2644"/>
      <c r="C213" s="1160" t="s">
        <v>2663</v>
      </c>
      <c r="D213" s="1156"/>
      <c r="E213" s="1157"/>
      <c r="F213" s="1064">
        <f t="shared" si="264"/>
        <v>0</v>
      </c>
      <c r="G213" s="912"/>
      <c r="H213" s="912"/>
      <c r="I213" s="912"/>
      <c r="J213" s="912"/>
      <c r="K213" s="912"/>
      <c r="L213" s="912"/>
      <c r="M213" s="912"/>
      <c r="N213" s="912"/>
      <c r="O213" s="912"/>
      <c r="P213" s="912"/>
      <c r="Q213" s="913"/>
    </row>
    <row r="214" spans="1:17" s="896" customFormat="1" ht="13.5" customHeight="1" thickBot="1">
      <c r="A214" s="2626"/>
      <c r="B214" s="1161" t="s">
        <v>2644</v>
      </c>
      <c r="C214" s="1154" t="s">
        <v>2659</v>
      </c>
      <c r="D214" s="1156">
        <f>+D194</f>
        <v>1</v>
      </c>
      <c r="E214" s="1157">
        <f>+E194</f>
        <v>0</v>
      </c>
      <c r="F214" s="1064">
        <f t="shared" si="264"/>
        <v>0</v>
      </c>
      <c r="G214" s="1080">
        <f>ROUNDDOWN(G194*$E214*$D214,0)</f>
        <v>0</v>
      </c>
      <c r="H214" s="1080">
        <f t="shared" ref="H214:Q214" si="274">ROUNDDOWN(H194*$E214*$D214,0)</f>
        <v>0</v>
      </c>
      <c r="I214" s="1080">
        <f t="shared" si="274"/>
        <v>0</v>
      </c>
      <c r="J214" s="1080">
        <f t="shared" ref="J214" si="275">ROUNDDOWN(J194*$E214*$D214,0)</f>
        <v>0</v>
      </c>
      <c r="K214" s="1080">
        <f>ROUNDDOWN(K194*$E214*$D214,0)</f>
        <v>0</v>
      </c>
      <c r="L214" s="1080">
        <f t="shared" ref="L214" si="276">ROUNDDOWN(L194*$E214*$D214,0)</f>
        <v>0</v>
      </c>
      <c r="M214" s="1080">
        <f t="shared" si="274"/>
        <v>0</v>
      </c>
      <c r="N214" s="1080">
        <f>ROUNDDOWN(N194*$E214*$D214,0)</f>
        <v>0</v>
      </c>
      <c r="O214" s="1080">
        <f t="shared" si="274"/>
        <v>0</v>
      </c>
      <c r="P214" s="1080">
        <f t="shared" si="274"/>
        <v>0</v>
      </c>
      <c r="Q214" s="1162">
        <f t="shared" si="274"/>
        <v>0</v>
      </c>
    </row>
    <row r="215" spans="1:17" s="896" customFormat="1" ht="13.5" customHeight="1" thickTop="1">
      <c r="A215" s="1163"/>
      <c r="B215" s="1164"/>
      <c r="C215" s="1165" t="s">
        <v>2664</v>
      </c>
      <c r="D215" s="1166"/>
      <c r="E215" s="1167"/>
      <c r="F215" s="1168">
        <f t="shared" si="264"/>
        <v>43436477</v>
      </c>
      <c r="G215" s="1169">
        <f t="shared" ref="G215:Q215" si="277">SUM(G200:G214)+G198</f>
        <v>3667017</v>
      </c>
      <c r="H215" s="1169">
        <f>SUM(H200:H214)+H198</f>
        <v>2282113</v>
      </c>
      <c r="I215" s="1169">
        <f>SUM(I200:I214)+I198</f>
        <v>221648</v>
      </c>
      <c r="J215" s="1169">
        <f t="shared" ref="J215" si="278">SUM(J200:J214)+J198</f>
        <v>12806355</v>
      </c>
      <c r="K215" s="1169">
        <f>SUM(K200:K214)+K198</f>
        <v>1185589</v>
      </c>
      <c r="L215" s="1169">
        <f t="shared" ref="L215" si="279">SUM(L200:L214)+L198</f>
        <v>4792956</v>
      </c>
      <c r="M215" s="1169">
        <f t="shared" si="277"/>
        <v>2736856</v>
      </c>
      <c r="N215" s="1169">
        <f>SUM(N200:N214)+N198</f>
        <v>15743943</v>
      </c>
      <c r="O215" s="1169">
        <f t="shared" si="277"/>
        <v>0</v>
      </c>
      <c r="P215" s="1169">
        <f t="shared" si="277"/>
        <v>0</v>
      </c>
      <c r="Q215" s="1170">
        <f t="shared" si="277"/>
        <v>0</v>
      </c>
    </row>
    <row r="216" spans="1:17" s="896" customFormat="1" ht="13.5" customHeight="1">
      <c r="A216" s="1171"/>
      <c r="B216" s="1172"/>
      <c r="C216" s="1072" t="s">
        <v>2665</v>
      </c>
      <c r="D216" s="1173"/>
      <c r="E216" s="945"/>
      <c r="F216" s="946">
        <f t="shared" si="264"/>
        <v>432227639</v>
      </c>
      <c r="G216" s="1073">
        <f t="shared" ref="G216:Q216" si="280">+G91+G215</f>
        <v>37092902</v>
      </c>
      <c r="H216" s="1073">
        <f>+H91+H215</f>
        <v>24600996</v>
      </c>
      <c r="I216" s="1073">
        <f t="shared" si="280"/>
        <v>2353309</v>
      </c>
      <c r="J216" s="1073">
        <f t="shared" ref="J216" si="281">+J91+J215</f>
        <v>120735841</v>
      </c>
      <c r="K216" s="1073">
        <f>+K91+K215</f>
        <v>11393752</v>
      </c>
      <c r="L216" s="1073">
        <f t="shared" ref="L216" si="282">+L91+L215</f>
        <v>49588917</v>
      </c>
      <c r="M216" s="1073">
        <f t="shared" si="280"/>
        <v>31650790</v>
      </c>
      <c r="N216" s="1073">
        <f>+N91+N215</f>
        <v>154811132</v>
      </c>
      <c r="O216" s="1073">
        <f t="shared" si="280"/>
        <v>0</v>
      </c>
      <c r="P216" s="1073">
        <f t="shared" si="280"/>
        <v>0</v>
      </c>
      <c r="Q216" s="1074">
        <f t="shared" si="280"/>
        <v>0</v>
      </c>
    </row>
    <row r="217" spans="1:17" s="896" customFormat="1" ht="13.5" customHeight="1">
      <c r="A217" s="887"/>
      <c r="B217" s="887"/>
      <c r="C217" s="924"/>
      <c r="D217" s="924"/>
      <c r="E217" s="887"/>
      <c r="F217" s="1153"/>
      <c r="G217" s="915"/>
      <c r="H217" s="915"/>
      <c r="I217" s="915"/>
      <c r="J217" s="915"/>
      <c r="K217" s="915"/>
      <c r="L217" s="915"/>
      <c r="M217" s="915"/>
      <c r="N217" s="915"/>
      <c r="O217" s="915"/>
      <c r="P217" s="915"/>
      <c r="Q217" s="915"/>
    </row>
    <row r="218" spans="1:17" s="896" customFormat="1" ht="13.5" customHeight="1">
      <c r="A218" s="887"/>
      <c r="B218" s="887"/>
      <c r="C218" s="1099" t="s">
        <v>2666</v>
      </c>
      <c r="D218" s="1099"/>
      <c r="E218" s="923"/>
      <c r="F218" s="1042"/>
      <c r="G218" s="1100"/>
      <c r="H218" s="1046"/>
      <c r="I218" s="1046"/>
      <c r="J218" s="1046"/>
      <c r="K218" s="1046"/>
      <c r="L218" s="1046"/>
      <c r="M218" s="1046"/>
      <c r="N218" s="1046"/>
      <c r="O218" s="1046"/>
      <c r="P218" s="1046"/>
      <c r="Q218" s="1100" t="s">
        <v>2667</v>
      </c>
    </row>
    <row r="219" spans="1:17" s="896" customFormat="1" ht="13.5" customHeight="1">
      <c r="A219" s="1070"/>
      <c r="B219" s="1070"/>
      <c r="C219" s="1070"/>
      <c r="D219" s="1070"/>
      <c r="E219" s="1070"/>
      <c r="F219" s="1040"/>
      <c r="G219" s="1174"/>
      <c r="H219" s="1174"/>
      <c r="I219" s="1174"/>
      <c r="J219" s="1174"/>
      <c r="K219" s="1174"/>
      <c r="L219" s="1174"/>
      <c r="M219" s="1174"/>
      <c r="N219" s="1174"/>
      <c r="O219" s="1174"/>
      <c r="P219" s="1174"/>
      <c r="Q219" s="1174"/>
    </row>
    <row r="220" spans="1:17" s="896" customFormat="1" ht="13.5" customHeight="1">
      <c r="A220" s="2627"/>
      <c r="B220" s="2628"/>
      <c r="C220" s="2629"/>
      <c r="D220" s="1175"/>
      <c r="E220" s="1091" t="s">
        <v>2668</v>
      </c>
      <c r="F220" s="1092" t="s">
        <v>2517</v>
      </c>
      <c r="G220" s="1093" t="str">
        <f t="shared" ref="G220:Q220" si="283">+G86</f>
        <v>工事1</v>
      </c>
      <c r="H220" s="1093" t="str">
        <f t="shared" si="283"/>
        <v>工事2</v>
      </c>
      <c r="I220" s="1093" t="str">
        <f t="shared" si="283"/>
        <v>工事3</v>
      </c>
      <c r="J220" s="1093" t="str">
        <f t="shared" ref="J220:L220" si="284">+J86</f>
        <v>工事4</v>
      </c>
      <c r="K220" s="1093" t="str">
        <f t="shared" si="284"/>
        <v>工事5</v>
      </c>
      <c r="L220" s="1093" t="str">
        <f t="shared" si="284"/>
        <v>工事6</v>
      </c>
      <c r="M220" s="1093" t="str">
        <f t="shared" si="283"/>
        <v>工事7</v>
      </c>
      <c r="N220" s="1093" t="str">
        <f t="shared" si="283"/>
        <v>工事8</v>
      </c>
      <c r="O220" s="1093">
        <f t="shared" si="283"/>
        <v>0</v>
      </c>
      <c r="P220" s="1093">
        <f t="shared" si="283"/>
        <v>0</v>
      </c>
      <c r="Q220" s="1094">
        <f t="shared" si="283"/>
        <v>0</v>
      </c>
    </row>
    <row r="221" spans="1:17" s="896" customFormat="1" ht="13.5" customHeight="1" thickBot="1">
      <c r="A221" s="2630"/>
      <c r="B221" s="2631"/>
      <c r="C221" s="2632"/>
      <c r="D221" s="1176"/>
      <c r="E221" s="1177"/>
      <c r="F221" s="1053"/>
      <c r="G221" s="1178"/>
      <c r="H221" s="1178"/>
      <c r="I221" s="1178"/>
      <c r="J221" s="1178"/>
      <c r="K221" s="1178"/>
      <c r="L221" s="1178"/>
      <c r="M221" s="1178"/>
      <c r="N221" s="1178"/>
      <c r="O221" s="1178"/>
      <c r="P221" s="1178"/>
      <c r="Q221" s="1179"/>
    </row>
    <row r="222" spans="1:17" s="896" customFormat="1" ht="13.5" customHeight="1" thickBot="1">
      <c r="A222" s="1180"/>
      <c r="B222" s="1181"/>
      <c r="C222" s="1182" t="s">
        <v>2669</v>
      </c>
      <c r="D222" s="1183"/>
      <c r="E222" s="1184"/>
      <c r="F222" s="1185">
        <f>SUM(G222:Q222)</f>
        <v>432227639</v>
      </c>
      <c r="G222" s="1186">
        <f t="shared" ref="G222:Q222" si="285">IF(G223="",+G216,0)</f>
        <v>37092902</v>
      </c>
      <c r="H222" s="1186">
        <f t="shared" si="285"/>
        <v>24600996</v>
      </c>
      <c r="I222" s="1186">
        <f t="shared" si="285"/>
        <v>2353309</v>
      </c>
      <c r="J222" s="1186">
        <f t="shared" ref="J222:L222" si="286">IF(J223="",+J216,0)</f>
        <v>120735841</v>
      </c>
      <c r="K222" s="1186">
        <f t="shared" si="286"/>
        <v>11393752</v>
      </c>
      <c r="L222" s="1186">
        <f t="shared" si="286"/>
        <v>49588917</v>
      </c>
      <c r="M222" s="1186">
        <f t="shared" si="285"/>
        <v>31650790</v>
      </c>
      <c r="N222" s="1186">
        <f t="shared" si="285"/>
        <v>154811132</v>
      </c>
      <c r="O222" s="1186">
        <f t="shared" si="285"/>
        <v>0</v>
      </c>
      <c r="P222" s="1186">
        <f t="shared" si="285"/>
        <v>0</v>
      </c>
      <c r="Q222" s="1187">
        <f t="shared" si="285"/>
        <v>0</v>
      </c>
    </row>
    <row r="223" spans="1:17" s="896" customFormat="1" ht="13.5" customHeight="1">
      <c r="A223" s="886"/>
      <c r="B223" s="887"/>
      <c r="C223" s="1188" t="s">
        <v>2670</v>
      </c>
      <c r="D223" s="1189"/>
      <c r="E223" s="1190"/>
      <c r="F223" s="926">
        <f>SUM(G223:Q223)</f>
        <v>0</v>
      </c>
      <c r="G223" s="926" t="str">
        <f>IF(G245="","",G216)</f>
        <v/>
      </c>
      <c r="H223" s="926" t="str">
        <f t="shared" ref="H223:Q223" si="287">IF(H245="","",H216)</f>
        <v/>
      </c>
      <c r="I223" s="926" t="str">
        <f>IF(I245="","",I216)</f>
        <v/>
      </c>
      <c r="J223" s="926" t="str">
        <f t="shared" ref="J223:L223" si="288">IF(J245="","",J216)</f>
        <v/>
      </c>
      <c r="K223" s="926" t="str">
        <f t="shared" si="288"/>
        <v/>
      </c>
      <c r="L223" s="926" t="str">
        <f t="shared" si="288"/>
        <v/>
      </c>
      <c r="M223" s="926" t="str">
        <f t="shared" si="287"/>
        <v/>
      </c>
      <c r="N223" s="926" t="str">
        <f t="shared" si="287"/>
        <v/>
      </c>
      <c r="O223" s="926" t="str">
        <f t="shared" si="287"/>
        <v/>
      </c>
      <c r="P223" s="926" t="str">
        <f t="shared" si="287"/>
        <v/>
      </c>
      <c r="Q223" s="1191" t="str">
        <f t="shared" si="287"/>
        <v/>
      </c>
    </row>
    <row r="224" spans="1:17" s="896" customFormat="1" ht="13.5" customHeight="1">
      <c r="A224" s="1171"/>
      <c r="B224" s="1172"/>
      <c r="C224" s="2633" t="s">
        <v>2671</v>
      </c>
      <c r="D224" s="2633"/>
      <c r="E224" s="2634"/>
      <c r="F224" s="946">
        <f>F222+F223-F232</f>
        <v>432227639</v>
      </c>
      <c r="G224" s="1073"/>
      <c r="H224" s="1073"/>
      <c r="I224" s="1073"/>
      <c r="J224" s="1073"/>
      <c r="K224" s="1073"/>
      <c r="L224" s="1073"/>
      <c r="M224" s="1073"/>
      <c r="N224" s="1073"/>
      <c r="O224" s="1073"/>
      <c r="P224" s="1073"/>
      <c r="Q224" s="1074"/>
    </row>
    <row r="225" spans="1:17" s="896" customFormat="1" ht="13.5" customHeight="1">
      <c r="A225" s="877"/>
      <c r="B225" s="878"/>
      <c r="C225" s="878"/>
      <c r="D225" s="1192"/>
      <c r="E225" s="881" t="str">
        <f>E86</f>
        <v>無し</v>
      </c>
      <c r="F225" s="2635" t="s">
        <v>2672</v>
      </c>
      <c r="G225" s="2636"/>
      <c r="H225" s="1077"/>
      <c r="I225" s="1077"/>
      <c r="J225" s="1077"/>
      <c r="K225" s="1077"/>
      <c r="L225" s="1077"/>
      <c r="M225" s="1077"/>
      <c r="N225" s="1077"/>
      <c r="O225" s="1077"/>
      <c r="P225" s="1077"/>
      <c r="Q225" s="1078"/>
    </row>
    <row r="226" spans="1:17" s="896" customFormat="1" ht="13.5" customHeight="1">
      <c r="A226" s="2637" t="s">
        <v>2673</v>
      </c>
      <c r="B226" s="2638"/>
      <c r="C226" s="2639"/>
      <c r="D226" s="1193"/>
      <c r="E226" s="1194" t="str">
        <f>+E87</f>
        <v>有り</v>
      </c>
      <c r="F226" s="2640" t="s">
        <v>2674</v>
      </c>
      <c r="G226" s="2641"/>
      <c r="H226" s="1073"/>
      <c r="I226" s="1073"/>
      <c r="J226" s="1073"/>
      <c r="K226" s="1073"/>
      <c r="L226" s="1073"/>
      <c r="M226" s="1073"/>
      <c r="N226" s="1073"/>
      <c r="O226" s="1073"/>
      <c r="P226" s="1073"/>
      <c r="Q226" s="1074"/>
    </row>
    <row r="227" spans="1:17" s="896" customFormat="1" ht="13.5" customHeight="1">
      <c r="A227" s="2642"/>
      <c r="B227" s="1195" t="s">
        <v>161</v>
      </c>
      <c r="C227" s="1196" t="s">
        <v>2675</v>
      </c>
      <c r="D227" s="1197">
        <v>1</v>
      </c>
      <c r="E227" s="1198">
        <f>+G296/100</f>
        <v>0.111</v>
      </c>
      <c r="F227" s="907">
        <f>SUM(G227:Q227)</f>
        <v>432227639</v>
      </c>
      <c r="G227" s="1077">
        <f>+G222-G232</f>
        <v>37092902</v>
      </c>
      <c r="H227" s="1077">
        <f t="shared" ref="H227:Q227" si="289">+H222-H232</f>
        <v>24600996</v>
      </c>
      <c r="I227" s="1077">
        <f>+I222-I232</f>
        <v>2353309</v>
      </c>
      <c r="J227" s="1077">
        <f t="shared" ref="J227:L227" si="290">+J222-J232</f>
        <v>120735841</v>
      </c>
      <c r="K227" s="1077">
        <f t="shared" si="290"/>
        <v>11393752</v>
      </c>
      <c r="L227" s="1077">
        <f t="shared" si="290"/>
        <v>49588917</v>
      </c>
      <c r="M227" s="1077">
        <f t="shared" si="289"/>
        <v>31650790</v>
      </c>
      <c r="N227" s="1077">
        <f t="shared" si="289"/>
        <v>154811132</v>
      </c>
      <c r="O227" s="1077">
        <f t="shared" si="289"/>
        <v>0</v>
      </c>
      <c r="P227" s="1077">
        <f t="shared" si="289"/>
        <v>0</v>
      </c>
      <c r="Q227" s="1078">
        <f t="shared" si="289"/>
        <v>0</v>
      </c>
    </row>
    <row r="228" spans="1:17" s="896" customFormat="1" ht="13.5" customHeight="1">
      <c r="A228" s="2602"/>
      <c r="B228" s="2607" t="s">
        <v>2676</v>
      </c>
      <c r="C228" s="910" t="s">
        <v>2677</v>
      </c>
      <c r="D228" s="1138">
        <v>0.05</v>
      </c>
      <c r="E228" s="1113">
        <f>IF(OR(G83="無し",G83="なし"),IF(E225="無し",E227,0),0)</f>
        <v>0.111</v>
      </c>
      <c r="F228" s="911">
        <f>SUM(G228:Q228)</f>
        <v>432227639</v>
      </c>
      <c r="G228" s="912">
        <f>IF(G245=0,+G227,0)</f>
        <v>37092902</v>
      </c>
      <c r="H228" s="912">
        <f>IF(H245=0,+H227,0)</f>
        <v>24600996</v>
      </c>
      <c r="I228" s="912">
        <f t="shared" ref="I228:Q228" si="291">IF(I245=0,+I227,0)</f>
        <v>2353309</v>
      </c>
      <c r="J228" s="912">
        <f t="shared" ref="J228:L228" si="292">IF(J245=0,+J227,0)</f>
        <v>120735841</v>
      </c>
      <c r="K228" s="912">
        <f t="shared" si="292"/>
        <v>11393752</v>
      </c>
      <c r="L228" s="912">
        <f t="shared" si="292"/>
        <v>49588917</v>
      </c>
      <c r="M228" s="912">
        <f t="shared" si="291"/>
        <v>31650790</v>
      </c>
      <c r="N228" s="912">
        <f t="shared" si="291"/>
        <v>154811132</v>
      </c>
      <c r="O228" s="912">
        <f t="shared" si="291"/>
        <v>0</v>
      </c>
      <c r="P228" s="912">
        <f t="shared" si="291"/>
        <v>0</v>
      </c>
      <c r="Q228" s="913">
        <f t="shared" si="291"/>
        <v>0</v>
      </c>
    </row>
    <row r="229" spans="1:17" s="896" customFormat="1" ht="13.5" customHeight="1">
      <c r="A229" s="2602"/>
      <c r="B229" s="2606"/>
      <c r="C229" s="910" t="s">
        <v>2678</v>
      </c>
      <c r="D229" s="1199">
        <v>1</v>
      </c>
      <c r="E229" s="1113">
        <f>IF(OR(E226="無し",E226="なし"),0,0.0004)</f>
        <v>4.0000000000000002E-4</v>
      </c>
      <c r="F229" s="911">
        <f>SUM(G229:Q229)</f>
        <v>432227639</v>
      </c>
      <c r="G229" s="912">
        <f>IF(G245=0,+G227,0)</f>
        <v>37092902</v>
      </c>
      <c r="H229" s="912">
        <f t="shared" ref="H229:Q229" si="293">IF(H245=0,+H227,0)</f>
        <v>24600996</v>
      </c>
      <c r="I229" s="912">
        <f t="shared" si="293"/>
        <v>2353309</v>
      </c>
      <c r="J229" s="912">
        <f t="shared" ref="J229:L229" si="294">IF(J245=0,+J227,0)</f>
        <v>120735841</v>
      </c>
      <c r="K229" s="912">
        <f t="shared" si="294"/>
        <v>11393752</v>
      </c>
      <c r="L229" s="912">
        <f t="shared" si="294"/>
        <v>49588917</v>
      </c>
      <c r="M229" s="912">
        <f t="shared" si="293"/>
        <v>31650790</v>
      </c>
      <c r="N229" s="912">
        <f t="shared" si="293"/>
        <v>154811132</v>
      </c>
      <c r="O229" s="912">
        <f t="shared" si="293"/>
        <v>0</v>
      </c>
      <c r="P229" s="912">
        <f t="shared" si="293"/>
        <v>0</v>
      </c>
      <c r="Q229" s="913">
        <f t="shared" si="293"/>
        <v>0</v>
      </c>
    </row>
    <row r="230" spans="1:17" s="896" customFormat="1" ht="13.5" customHeight="1">
      <c r="A230" s="2602"/>
      <c r="B230" s="1200"/>
      <c r="C230" s="910"/>
      <c r="D230" s="1201"/>
      <c r="E230" s="1201"/>
      <c r="F230" s="911"/>
      <c r="G230" s="912"/>
      <c r="H230" s="912"/>
      <c r="I230" s="912"/>
      <c r="J230" s="912"/>
      <c r="K230" s="912"/>
      <c r="L230" s="912"/>
      <c r="M230" s="912"/>
      <c r="N230" s="912"/>
      <c r="O230" s="912"/>
      <c r="P230" s="912"/>
      <c r="Q230" s="913"/>
    </row>
    <row r="231" spans="1:17" s="896" customFormat="1" ht="13.5" customHeight="1">
      <c r="A231" s="2602"/>
      <c r="B231" s="1200"/>
      <c r="C231" s="910"/>
      <c r="D231" s="1201"/>
      <c r="E231" s="1201"/>
      <c r="F231" s="911"/>
      <c r="G231" s="912"/>
      <c r="H231" s="912"/>
      <c r="I231" s="912"/>
      <c r="J231" s="912"/>
      <c r="K231" s="912"/>
      <c r="L231" s="912"/>
      <c r="M231" s="912"/>
      <c r="N231" s="912"/>
      <c r="O231" s="912"/>
      <c r="P231" s="912"/>
      <c r="Q231" s="913"/>
    </row>
    <row r="232" spans="1:17" s="896" customFormat="1" ht="13.5" customHeight="1">
      <c r="A232" s="2602"/>
      <c r="B232" s="2607" t="s">
        <v>2679</v>
      </c>
      <c r="C232" s="1110" t="str">
        <f>+C136</f>
        <v>(17)下水道使用料、各種負担金（共通仮設）</v>
      </c>
      <c r="D232" s="1202">
        <v>1</v>
      </c>
      <c r="E232" s="1203">
        <v>0</v>
      </c>
      <c r="F232" s="911">
        <f>SUM(G232:Q232)</f>
        <v>0</v>
      </c>
      <c r="G232" s="912">
        <f>+G136</f>
        <v>0</v>
      </c>
      <c r="H232" s="912">
        <f t="shared" ref="H232:Q232" si="295">+H136</f>
        <v>0</v>
      </c>
      <c r="I232" s="912">
        <f t="shared" si="295"/>
        <v>0</v>
      </c>
      <c r="J232" s="912">
        <f t="shared" ref="J232" si="296">+J136</f>
        <v>0</v>
      </c>
      <c r="K232" s="912">
        <f>+K136</f>
        <v>0</v>
      </c>
      <c r="L232" s="912">
        <f t="shared" ref="L232" si="297">+L136</f>
        <v>0</v>
      </c>
      <c r="M232" s="912">
        <f t="shared" si="295"/>
        <v>0</v>
      </c>
      <c r="N232" s="912">
        <f>+N136</f>
        <v>0</v>
      </c>
      <c r="O232" s="912">
        <f t="shared" si="295"/>
        <v>0</v>
      </c>
      <c r="P232" s="912">
        <f t="shared" si="295"/>
        <v>0</v>
      </c>
      <c r="Q232" s="913">
        <f t="shared" si="295"/>
        <v>0</v>
      </c>
    </row>
    <row r="233" spans="1:17" s="896" customFormat="1" ht="13.5" customHeight="1">
      <c r="A233" s="2602"/>
      <c r="B233" s="2605"/>
      <c r="C233" s="1204"/>
      <c r="D233" s="1110"/>
      <c r="E233" s="1203"/>
      <c r="F233" s="911"/>
      <c r="G233" s="912"/>
      <c r="H233" s="912"/>
      <c r="I233" s="912"/>
      <c r="J233" s="912"/>
      <c r="K233" s="912"/>
      <c r="L233" s="912"/>
      <c r="M233" s="912"/>
      <c r="N233" s="912"/>
      <c r="O233" s="912"/>
      <c r="P233" s="912"/>
      <c r="Q233" s="913"/>
    </row>
    <row r="234" spans="1:17" s="896" customFormat="1" ht="13.5" customHeight="1">
      <c r="A234" s="2603"/>
      <c r="B234" s="2608"/>
      <c r="C234" s="1205"/>
      <c r="D234" s="1154"/>
      <c r="E234" s="1206"/>
      <c r="F234" s="946"/>
      <c r="G234" s="1073"/>
      <c r="H234" s="1073"/>
      <c r="I234" s="1073"/>
      <c r="J234" s="1073"/>
      <c r="K234" s="1073"/>
      <c r="L234" s="1073"/>
      <c r="M234" s="1073"/>
      <c r="N234" s="1073"/>
      <c r="O234" s="1073"/>
      <c r="P234" s="1073"/>
      <c r="Q234" s="1074"/>
    </row>
    <row r="235" spans="1:17" s="896" customFormat="1" ht="13.5" customHeight="1">
      <c r="A235" s="877"/>
      <c r="B235" s="878"/>
      <c r="C235" s="1207"/>
      <c r="D235" s="1208"/>
      <c r="E235" s="1209"/>
      <c r="F235" s="907"/>
      <c r="G235" s="1077"/>
      <c r="H235" s="1077"/>
      <c r="I235" s="1077"/>
      <c r="J235" s="1077"/>
      <c r="K235" s="1077"/>
      <c r="L235" s="1077"/>
      <c r="M235" s="1077"/>
      <c r="N235" s="1077"/>
      <c r="O235" s="1077"/>
      <c r="P235" s="1077"/>
      <c r="Q235" s="1078"/>
    </row>
    <row r="236" spans="1:17" s="896" customFormat="1" ht="13.5" customHeight="1">
      <c r="A236" s="2637" t="s">
        <v>2680</v>
      </c>
      <c r="B236" s="2638"/>
      <c r="C236" s="2639"/>
      <c r="D236" s="1210"/>
      <c r="E236" s="1211"/>
      <c r="F236" s="1212"/>
      <c r="G236" s="1073"/>
      <c r="H236" s="1073"/>
      <c r="I236" s="1073"/>
      <c r="J236" s="1073"/>
      <c r="K236" s="1073"/>
      <c r="L236" s="1073"/>
      <c r="M236" s="1073"/>
      <c r="N236" s="1073"/>
      <c r="O236" s="1073"/>
      <c r="P236" s="1073"/>
      <c r="Q236" s="1074"/>
    </row>
    <row r="237" spans="1:17" s="896" customFormat="1" ht="13.5" customHeight="1">
      <c r="A237" s="886"/>
      <c r="B237" s="1213" t="s">
        <v>161</v>
      </c>
      <c r="C237" s="1196" t="s">
        <v>2675</v>
      </c>
      <c r="D237" s="1197">
        <f t="shared" ref="D237:E239" si="298">+D227</f>
        <v>1</v>
      </c>
      <c r="E237" s="1214">
        <f>+E227</f>
        <v>0.111</v>
      </c>
      <c r="F237" s="911">
        <f>INT(D237*E237*F227)</f>
        <v>47977267</v>
      </c>
      <c r="G237" s="1077">
        <f>F237-SUM(H237:Q237)</f>
        <v>4117312</v>
      </c>
      <c r="H237" s="1077">
        <f>IF(H227=0,0,ROUND($F237/$F227*H227,0))</f>
        <v>2730711</v>
      </c>
      <c r="I237" s="1077">
        <f t="shared" ref="H237:Q239" si="299">IF(I227=0,0,ROUND($F237/$F227*I227,0))</f>
        <v>261217</v>
      </c>
      <c r="J237" s="1077">
        <f t="shared" ref="J237:L237" si="300">IF(J227=0,0,ROUND($F237/$F227*J227,0))</f>
        <v>13401678</v>
      </c>
      <c r="K237" s="1077">
        <f t="shared" si="300"/>
        <v>1264706</v>
      </c>
      <c r="L237" s="1077">
        <f t="shared" si="300"/>
        <v>5504370</v>
      </c>
      <c r="M237" s="1077">
        <f t="shared" si="299"/>
        <v>3513238</v>
      </c>
      <c r="N237" s="1077">
        <f t="shared" si="299"/>
        <v>17184035</v>
      </c>
      <c r="O237" s="1077">
        <f t="shared" si="299"/>
        <v>0</v>
      </c>
      <c r="P237" s="1077">
        <f t="shared" si="299"/>
        <v>0</v>
      </c>
      <c r="Q237" s="1078">
        <f t="shared" si="299"/>
        <v>0</v>
      </c>
    </row>
    <row r="238" spans="1:17" s="896" customFormat="1" ht="13.5" customHeight="1">
      <c r="A238" s="886"/>
      <c r="B238" s="2607" t="s">
        <v>2676</v>
      </c>
      <c r="C238" s="910" t="s">
        <v>2677</v>
      </c>
      <c r="D238" s="1202">
        <f t="shared" si="298"/>
        <v>0.05</v>
      </c>
      <c r="E238" s="1113">
        <f t="shared" si="298"/>
        <v>0.111</v>
      </c>
      <c r="F238" s="911">
        <f>INT(D238*E238*F228)</f>
        <v>2398863</v>
      </c>
      <c r="G238" s="912">
        <f>F238-SUM(H238:Q238)</f>
        <v>205865</v>
      </c>
      <c r="H238" s="912">
        <f t="shared" si="299"/>
        <v>136536</v>
      </c>
      <c r="I238" s="912">
        <f t="shared" si="299"/>
        <v>13061</v>
      </c>
      <c r="J238" s="912">
        <f t="shared" ref="J238:L238" si="301">IF(J228=0,0,ROUND($F238/$F228*J228,0))</f>
        <v>670084</v>
      </c>
      <c r="K238" s="912">
        <f t="shared" si="301"/>
        <v>63235</v>
      </c>
      <c r="L238" s="912">
        <f t="shared" si="301"/>
        <v>275218</v>
      </c>
      <c r="M238" s="912">
        <f t="shared" si="299"/>
        <v>175662</v>
      </c>
      <c r="N238" s="912">
        <f t="shared" si="299"/>
        <v>859202</v>
      </c>
      <c r="O238" s="912">
        <f t="shared" si="299"/>
        <v>0</v>
      </c>
      <c r="P238" s="912">
        <f t="shared" si="299"/>
        <v>0</v>
      </c>
      <c r="Q238" s="913">
        <f t="shared" si="299"/>
        <v>0</v>
      </c>
    </row>
    <row r="239" spans="1:17" s="896" customFormat="1" ht="13.5" customHeight="1">
      <c r="A239" s="886"/>
      <c r="B239" s="2606"/>
      <c r="C239" s="910" t="s">
        <v>2678</v>
      </c>
      <c r="D239" s="1202">
        <f t="shared" si="298"/>
        <v>1</v>
      </c>
      <c r="E239" s="1113">
        <f t="shared" si="298"/>
        <v>4.0000000000000002E-4</v>
      </c>
      <c r="F239" s="911">
        <f>INT(D239*E239*F229)</f>
        <v>172891</v>
      </c>
      <c r="G239" s="912">
        <f>F239-SUM(H239:Q239)</f>
        <v>14839</v>
      </c>
      <c r="H239" s="912">
        <f>IF(H229=0,0,ROUND($F239/$F229*H229,0))</f>
        <v>9840</v>
      </c>
      <c r="I239" s="912">
        <f t="shared" si="299"/>
        <v>941</v>
      </c>
      <c r="J239" s="912">
        <f t="shared" ref="J239:L239" si="302">IF(J229=0,0,ROUND($F239/$F229*J229,0))</f>
        <v>48294</v>
      </c>
      <c r="K239" s="912">
        <f t="shared" si="302"/>
        <v>4557</v>
      </c>
      <c r="L239" s="912">
        <f t="shared" si="302"/>
        <v>19836</v>
      </c>
      <c r="M239" s="912">
        <f t="shared" si="299"/>
        <v>12660</v>
      </c>
      <c r="N239" s="912">
        <f t="shared" si="299"/>
        <v>61924</v>
      </c>
      <c r="O239" s="912">
        <f t="shared" si="299"/>
        <v>0</v>
      </c>
      <c r="P239" s="912">
        <f t="shared" si="299"/>
        <v>0</v>
      </c>
      <c r="Q239" s="913">
        <f t="shared" si="299"/>
        <v>0</v>
      </c>
    </row>
    <row r="240" spans="1:17" s="896" customFormat="1" ht="13.5" customHeight="1">
      <c r="A240" s="886"/>
      <c r="B240" s="1200"/>
      <c r="C240" s="910"/>
      <c r="D240" s="1201"/>
      <c r="E240" s="1201"/>
      <c r="F240" s="911"/>
      <c r="G240" s="912"/>
      <c r="H240" s="912"/>
      <c r="I240" s="912"/>
      <c r="J240" s="912"/>
      <c r="K240" s="912"/>
      <c r="L240" s="912"/>
      <c r="M240" s="912"/>
      <c r="N240" s="912"/>
      <c r="O240" s="912"/>
      <c r="P240" s="912"/>
      <c r="Q240" s="913"/>
    </row>
    <row r="241" spans="1:17" s="896" customFormat="1" ht="13.5" customHeight="1">
      <c r="A241" s="886"/>
      <c r="B241" s="1200"/>
      <c r="C241" s="910"/>
      <c r="D241" s="1201"/>
      <c r="E241" s="1201"/>
      <c r="F241" s="911"/>
      <c r="G241" s="912"/>
      <c r="H241" s="912"/>
      <c r="I241" s="912"/>
      <c r="J241" s="912"/>
      <c r="K241" s="912"/>
      <c r="L241" s="912"/>
      <c r="M241" s="912"/>
      <c r="N241" s="912"/>
      <c r="O241" s="912"/>
      <c r="P241" s="912"/>
      <c r="Q241" s="913"/>
    </row>
    <row r="242" spans="1:17" s="896" customFormat="1" ht="13.5" customHeight="1">
      <c r="A242" s="886"/>
      <c r="B242" s="2607" t="s">
        <v>2679</v>
      </c>
      <c r="C242" s="1110" t="str">
        <f>+C136</f>
        <v>(17)下水道使用料、各種負担金（共通仮設）</v>
      </c>
      <c r="D242" s="1202">
        <f>+D232</f>
        <v>1</v>
      </c>
      <c r="E242" s="1113">
        <f>+E232</f>
        <v>0</v>
      </c>
      <c r="F242" s="911">
        <f>INT(D242*E242*F232)</f>
        <v>0</v>
      </c>
      <c r="G242" s="912">
        <f>F242-SUM(H242:Q242)</f>
        <v>0</v>
      </c>
      <c r="H242" s="912">
        <f t="shared" ref="H242:Q242" si="303">IF(H232=0,0,ROUND($F242/$F232*H232,0))</f>
        <v>0</v>
      </c>
      <c r="I242" s="912">
        <f t="shared" si="303"/>
        <v>0</v>
      </c>
      <c r="J242" s="912">
        <f t="shared" ref="J242" si="304">IF(J232=0,0,ROUND($F242/$F232*J232,0))</f>
        <v>0</v>
      </c>
      <c r="K242" s="912">
        <f>IF(K232=0,0,ROUND($F242/$F232*K232,0))</f>
        <v>0</v>
      </c>
      <c r="L242" s="912">
        <f t="shared" ref="L242" si="305">IF(L232=0,0,ROUND($F242/$F232*L232,0))</f>
        <v>0</v>
      </c>
      <c r="M242" s="912">
        <f t="shared" si="303"/>
        <v>0</v>
      </c>
      <c r="N242" s="912">
        <f>IF(N232=0,0,ROUND($F242/$F232*N232,0))</f>
        <v>0</v>
      </c>
      <c r="O242" s="912">
        <f t="shared" si="303"/>
        <v>0</v>
      </c>
      <c r="P242" s="912">
        <f t="shared" si="303"/>
        <v>0</v>
      </c>
      <c r="Q242" s="913">
        <f t="shared" si="303"/>
        <v>0</v>
      </c>
    </row>
    <row r="243" spans="1:17" s="896" customFormat="1" ht="13.5" customHeight="1">
      <c r="A243" s="886"/>
      <c r="B243" s="2605"/>
      <c r="C243" s="1204"/>
      <c r="D243" s="1110"/>
      <c r="E243" s="1201">
        <f>+G234</f>
        <v>0</v>
      </c>
      <c r="F243" s="911"/>
      <c r="G243" s="912"/>
      <c r="H243" s="912"/>
      <c r="I243" s="912"/>
      <c r="J243" s="912"/>
      <c r="K243" s="912"/>
      <c r="L243" s="912"/>
      <c r="M243" s="912"/>
      <c r="N243" s="912"/>
      <c r="O243" s="912"/>
      <c r="P243" s="912"/>
      <c r="Q243" s="913"/>
    </row>
    <row r="244" spans="1:17" s="896" customFormat="1" ht="13.5" customHeight="1">
      <c r="A244" s="1215"/>
      <c r="B244" s="2606"/>
      <c r="C244" s="1204"/>
      <c r="D244" s="1110"/>
      <c r="E244" s="1201">
        <f>+G235</f>
        <v>0</v>
      </c>
      <c r="F244" s="911"/>
      <c r="G244" s="912"/>
      <c r="H244" s="912"/>
      <c r="I244" s="912"/>
      <c r="J244" s="912"/>
      <c r="K244" s="912"/>
      <c r="L244" s="912"/>
      <c r="M244" s="912"/>
      <c r="N244" s="912"/>
      <c r="O244" s="912"/>
      <c r="P244" s="912"/>
      <c r="Q244" s="913"/>
    </row>
    <row r="245" spans="1:17" s="896" customFormat="1" ht="13.5" customHeight="1">
      <c r="A245" s="1215"/>
      <c r="B245" s="2643" t="s">
        <v>2662</v>
      </c>
      <c r="C245" s="1129" t="s">
        <v>2681</v>
      </c>
      <c r="D245" s="1216"/>
      <c r="E245" s="1217"/>
      <c r="F245" s="1218">
        <f>SUM(G245:Q245)</f>
        <v>0</v>
      </c>
      <c r="G245" s="1219"/>
      <c r="H245" s="1219"/>
      <c r="I245" s="1219"/>
      <c r="J245" s="1219"/>
      <c r="K245" s="1219"/>
      <c r="L245" s="1219"/>
      <c r="M245" s="1219"/>
      <c r="N245" s="1219"/>
      <c r="O245" s="1219"/>
      <c r="P245" s="1219"/>
      <c r="Q245" s="1220"/>
    </row>
    <row r="246" spans="1:17" s="896" customFormat="1" ht="13.5" customHeight="1">
      <c r="A246" s="886"/>
      <c r="B246" s="2659"/>
      <c r="C246" s="1221" t="s">
        <v>2682</v>
      </c>
      <c r="D246" s="1156"/>
      <c r="E246" s="1157"/>
      <c r="F246" s="1064"/>
      <c r="G246" s="912"/>
      <c r="H246" s="912"/>
      <c r="I246" s="912"/>
      <c r="J246" s="912" t="s">
        <v>2683</v>
      </c>
      <c r="K246" s="912"/>
      <c r="L246" s="912"/>
      <c r="M246" s="912" t="s">
        <v>2683</v>
      </c>
      <c r="N246" s="912"/>
      <c r="O246" s="912"/>
      <c r="P246" s="912"/>
      <c r="Q246" s="913"/>
    </row>
    <row r="247" spans="1:17" s="896" customFormat="1" ht="13.5" customHeight="1">
      <c r="A247" s="1180"/>
      <c r="B247" s="1181"/>
      <c r="C247" s="1181"/>
      <c r="D247" s="882"/>
      <c r="E247" s="882"/>
      <c r="F247" s="907"/>
      <c r="G247" s="1077"/>
      <c r="H247" s="1077"/>
      <c r="I247" s="1077"/>
      <c r="J247" s="1077"/>
      <c r="K247" s="1077"/>
      <c r="L247" s="1077"/>
      <c r="M247" s="1077"/>
      <c r="N247" s="1077"/>
      <c r="O247" s="1077"/>
      <c r="P247" s="1077"/>
      <c r="Q247" s="1078"/>
    </row>
    <row r="248" spans="1:17" s="896" customFormat="1" ht="13.5" customHeight="1">
      <c r="A248" s="1222"/>
      <c r="B248" s="1082"/>
      <c r="C248" s="701" t="s">
        <v>2684</v>
      </c>
      <c r="D248" s="1204"/>
      <c r="E248" s="910"/>
      <c r="F248" s="911">
        <f>SUM(G248:Q248)</f>
        <v>50549021</v>
      </c>
      <c r="G248" s="912">
        <f t="shared" ref="G248:Q248" si="306">SUM(G237:G246)</f>
        <v>4338016</v>
      </c>
      <c r="H248" s="912">
        <f t="shared" si="306"/>
        <v>2877087</v>
      </c>
      <c r="I248" s="912">
        <f t="shared" si="306"/>
        <v>275219</v>
      </c>
      <c r="J248" s="912">
        <f t="shared" ref="J248:L248" si="307">SUM(J237:J246)</f>
        <v>14120056</v>
      </c>
      <c r="K248" s="912">
        <f t="shared" si="307"/>
        <v>1332498</v>
      </c>
      <c r="L248" s="912">
        <f t="shared" si="307"/>
        <v>5799424</v>
      </c>
      <c r="M248" s="912">
        <f t="shared" si="306"/>
        <v>3701560</v>
      </c>
      <c r="N248" s="912">
        <f t="shared" si="306"/>
        <v>18105161</v>
      </c>
      <c r="O248" s="912">
        <f t="shared" si="306"/>
        <v>0</v>
      </c>
      <c r="P248" s="912">
        <f t="shared" si="306"/>
        <v>0</v>
      </c>
      <c r="Q248" s="913">
        <f t="shared" si="306"/>
        <v>0</v>
      </c>
    </row>
    <row r="249" spans="1:17" s="896" customFormat="1" ht="13.5" customHeight="1">
      <c r="A249" s="1222"/>
      <c r="B249" s="1082"/>
      <c r="C249" s="701" t="s">
        <v>2665</v>
      </c>
      <c r="D249" s="1204"/>
      <c r="E249" s="910"/>
      <c r="F249" s="911">
        <f>SUM(G249:Q249)</f>
        <v>432227639</v>
      </c>
      <c r="G249" s="912">
        <f t="shared" ref="G249:Q249" si="308">+G216</f>
        <v>37092902</v>
      </c>
      <c r="H249" s="912">
        <f t="shared" si="308"/>
        <v>24600996</v>
      </c>
      <c r="I249" s="912">
        <f t="shared" si="308"/>
        <v>2353309</v>
      </c>
      <c r="J249" s="912">
        <f t="shared" ref="J249:L249" si="309">+J216</f>
        <v>120735841</v>
      </c>
      <c r="K249" s="912">
        <f t="shared" si="309"/>
        <v>11393752</v>
      </c>
      <c r="L249" s="912">
        <f t="shared" si="309"/>
        <v>49588917</v>
      </c>
      <c r="M249" s="912">
        <f t="shared" si="308"/>
        <v>31650790</v>
      </c>
      <c r="N249" s="912">
        <f t="shared" si="308"/>
        <v>154811132</v>
      </c>
      <c r="O249" s="912">
        <f t="shared" si="308"/>
        <v>0</v>
      </c>
      <c r="P249" s="912">
        <f t="shared" si="308"/>
        <v>0</v>
      </c>
      <c r="Q249" s="913">
        <f t="shared" si="308"/>
        <v>0</v>
      </c>
    </row>
    <row r="250" spans="1:17" s="896" customFormat="1" ht="13.5" customHeight="1" thickBot="1">
      <c r="A250" s="1223"/>
      <c r="B250" s="1224"/>
      <c r="C250" s="1225" t="s">
        <v>2685</v>
      </c>
      <c r="D250" s="1226"/>
      <c r="E250" s="1227"/>
      <c r="F250" s="1144">
        <f>SUM(G250:Q250)</f>
        <v>482776660</v>
      </c>
      <c r="G250" s="1228">
        <f>SUM(G248:G249)</f>
        <v>41430918</v>
      </c>
      <c r="H250" s="1228">
        <f t="shared" ref="H250:Q250" si="310">SUM(H248:H249)</f>
        <v>27478083</v>
      </c>
      <c r="I250" s="1228">
        <f t="shared" si="310"/>
        <v>2628528</v>
      </c>
      <c r="J250" s="1228">
        <f t="shared" ref="J250" si="311">SUM(J248:J249)</f>
        <v>134855897</v>
      </c>
      <c r="K250" s="1228">
        <f>SUM(K248:K249)</f>
        <v>12726250</v>
      </c>
      <c r="L250" s="1228">
        <f t="shared" ref="L250" si="312">SUM(L248:L249)</f>
        <v>55388341</v>
      </c>
      <c r="M250" s="1228">
        <f t="shared" si="310"/>
        <v>35352350</v>
      </c>
      <c r="N250" s="1228">
        <f>SUM(N248:N249)</f>
        <v>172916293</v>
      </c>
      <c r="O250" s="1228">
        <f t="shared" si="310"/>
        <v>0</v>
      </c>
      <c r="P250" s="1228">
        <f t="shared" si="310"/>
        <v>0</v>
      </c>
      <c r="Q250" s="1229">
        <f t="shared" si="310"/>
        <v>0</v>
      </c>
    </row>
    <row r="251" spans="1:17" s="896" customFormat="1" ht="13.5" customHeight="1" thickTop="1">
      <c r="A251" s="886"/>
      <c r="B251" s="887"/>
      <c r="C251" s="887"/>
      <c r="D251" s="925"/>
      <c r="E251" s="925"/>
      <c r="F251" s="926"/>
      <c r="G251" s="1230">
        <f t="shared" ref="G251:Q251" si="313">ROUNDDOWN(G250,-3)</f>
        <v>41430000</v>
      </c>
      <c r="H251" s="1230">
        <f>ROUNDDOWN(H250,-3)</f>
        <v>27478000</v>
      </c>
      <c r="I251" s="1230">
        <f t="shared" si="313"/>
        <v>2628000</v>
      </c>
      <c r="J251" s="1230">
        <f t="shared" ref="J251" si="314">ROUNDDOWN(J250,-3)</f>
        <v>134855000</v>
      </c>
      <c r="K251" s="1230">
        <f>ROUNDDOWN(K250,-3)</f>
        <v>12726000</v>
      </c>
      <c r="L251" s="1230">
        <f t="shared" ref="L251" si="315">ROUNDDOWN(L250,-3)</f>
        <v>55388000</v>
      </c>
      <c r="M251" s="1230">
        <f t="shared" si="313"/>
        <v>35352000</v>
      </c>
      <c r="N251" s="1230">
        <f>ROUNDDOWN(N250,-3)</f>
        <v>172916000</v>
      </c>
      <c r="O251" s="1230">
        <f t="shared" si="313"/>
        <v>0</v>
      </c>
      <c r="P251" s="1230">
        <f t="shared" si="313"/>
        <v>0</v>
      </c>
      <c r="Q251" s="1231">
        <f t="shared" si="313"/>
        <v>0</v>
      </c>
    </row>
    <row r="252" spans="1:17" s="896" customFormat="1" ht="13.5" customHeight="1">
      <c r="A252" s="1222"/>
      <c r="B252" s="1082"/>
      <c r="C252" s="701" t="s">
        <v>2665</v>
      </c>
      <c r="D252" s="1204"/>
      <c r="E252" s="910"/>
      <c r="F252" s="911">
        <f>SUM(G252:Q252)</f>
        <v>432227639</v>
      </c>
      <c r="G252" s="912">
        <f t="shared" ref="G252:Q252" si="316">+G249</f>
        <v>37092902</v>
      </c>
      <c r="H252" s="912">
        <f t="shared" si="316"/>
        <v>24600996</v>
      </c>
      <c r="I252" s="912">
        <f>+I249</f>
        <v>2353309</v>
      </c>
      <c r="J252" s="912">
        <f>+J249</f>
        <v>120735841</v>
      </c>
      <c r="K252" s="912">
        <f>+K249</f>
        <v>11393752</v>
      </c>
      <c r="L252" s="912">
        <f t="shared" ref="L252" si="317">+L249</f>
        <v>49588917</v>
      </c>
      <c r="M252" s="912">
        <f>+M249</f>
        <v>31650790</v>
      </c>
      <c r="N252" s="912">
        <f>+N249</f>
        <v>154811132</v>
      </c>
      <c r="O252" s="912">
        <f t="shared" si="316"/>
        <v>0</v>
      </c>
      <c r="P252" s="912">
        <f t="shared" si="316"/>
        <v>0</v>
      </c>
      <c r="Q252" s="913">
        <f t="shared" si="316"/>
        <v>0</v>
      </c>
    </row>
    <row r="253" spans="1:17" s="896" customFormat="1" ht="13.5" customHeight="1">
      <c r="A253" s="1222"/>
      <c r="B253" s="1082"/>
      <c r="C253" s="701" t="s">
        <v>2686</v>
      </c>
      <c r="D253" s="1204"/>
      <c r="E253" s="1201"/>
      <c r="F253" s="911">
        <f>SUM(G253:Q253)</f>
        <v>50472361</v>
      </c>
      <c r="G253" s="912">
        <f t="shared" ref="G253:Q253" si="318">+G248-(G250-G255)</f>
        <v>4329098</v>
      </c>
      <c r="H253" s="912">
        <f>+H248-(H250-H255)</f>
        <v>2873004</v>
      </c>
      <c r="I253" s="912">
        <f t="shared" si="318"/>
        <v>274691</v>
      </c>
      <c r="J253" s="912">
        <f>+J248-(J250-J255)</f>
        <v>14099159</v>
      </c>
      <c r="K253" s="912">
        <f>+K248-(K250-K255)</f>
        <v>1330248</v>
      </c>
      <c r="L253" s="912">
        <f t="shared" ref="L253" si="319">+L248-(L250-L255)</f>
        <v>5791083</v>
      </c>
      <c r="M253" s="912">
        <f>+M248-(M250-M255)</f>
        <v>3696210</v>
      </c>
      <c r="N253" s="912">
        <f>+N248-(N250-N255)</f>
        <v>18078868</v>
      </c>
      <c r="O253" s="912">
        <f t="shared" si="318"/>
        <v>0</v>
      </c>
      <c r="P253" s="912">
        <f t="shared" si="318"/>
        <v>0</v>
      </c>
      <c r="Q253" s="913">
        <f t="shared" si="318"/>
        <v>0</v>
      </c>
    </row>
    <row r="254" spans="1:17" s="896" customFormat="1" ht="13.5" customHeight="1">
      <c r="A254" s="1222"/>
      <c r="B254" s="1082"/>
      <c r="C254" s="1082"/>
      <c r="D254" s="910"/>
      <c r="E254" s="1232">
        <f>SUM(G251:Q251)</f>
        <v>482773000</v>
      </c>
      <c r="F254" s="911" t="s">
        <v>2687</v>
      </c>
      <c r="G254" s="912">
        <f t="shared" ref="G254:Q254" si="320">+G248-G253</f>
        <v>8918</v>
      </c>
      <c r="H254" s="912">
        <f t="shared" si="320"/>
        <v>4083</v>
      </c>
      <c r="I254" s="912">
        <f t="shared" si="320"/>
        <v>528</v>
      </c>
      <c r="J254" s="912">
        <f t="shared" ref="J254" si="321">+J248-J253</f>
        <v>20897</v>
      </c>
      <c r="K254" s="912">
        <f>+K248-K253</f>
        <v>2250</v>
      </c>
      <c r="L254" s="912">
        <f t="shared" ref="L254" si="322">+L248-L253</f>
        <v>8341</v>
      </c>
      <c r="M254" s="912">
        <f t="shared" si="320"/>
        <v>5350</v>
      </c>
      <c r="N254" s="912">
        <f>+N248-N253</f>
        <v>26293</v>
      </c>
      <c r="O254" s="912">
        <f t="shared" si="320"/>
        <v>0</v>
      </c>
      <c r="P254" s="1233">
        <f t="shared" si="320"/>
        <v>0</v>
      </c>
      <c r="Q254" s="1234">
        <f t="shared" si="320"/>
        <v>0</v>
      </c>
    </row>
    <row r="255" spans="1:17" s="896" customFormat="1" ht="13.5" customHeight="1">
      <c r="A255" s="1235"/>
      <c r="B255" s="1063"/>
      <c r="C255" s="1063" t="s">
        <v>2688</v>
      </c>
      <c r="D255" s="1236"/>
      <c r="E255" s="1232">
        <f>ROUNDDOWN(E254,4-LEN(E254))</f>
        <v>482700000</v>
      </c>
      <c r="F255" s="1237">
        <f>+E255</f>
        <v>482700000</v>
      </c>
      <c r="G255" s="1233">
        <f>IF(F256+SUM(H255:Q255)=F255,F256,F255-SUM(H255:Q255))</f>
        <v>41422000</v>
      </c>
      <c r="H255" s="1233">
        <f t="shared" ref="H255:Q255" si="323">IF(H245="",+H251-ROUND($E$256*H250/$F$250,-3),H250)</f>
        <v>27474000</v>
      </c>
      <c r="I255" s="1233">
        <f t="shared" si="323"/>
        <v>2628000</v>
      </c>
      <c r="J255" s="1233">
        <f t="shared" ref="J255:L255" si="324">IF(J245="",+J251-ROUND($E$256*J250/$F$250,-3),J250)</f>
        <v>134835000</v>
      </c>
      <c r="K255" s="1233">
        <f t="shared" si="324"/>
        <v>12724000</v>
      </c>
      <c r="L255" s="1233">
        <f t="shared" si="324"/>
        <v>55380000</v>
      </c>
      <c r="M255" s="1233">
        <f t="shared" si="323"/>
        <v>35347000</v>
      </c>
      <c r="N255" s="1233">
        <f t="shared" si="323"/>
        <v>172890000</v>
      </c>
      <c r="O255" s="1233">
        <f t="shared" si="323"/>
        <v>0</v>
      </c>
      <c r="P255" s="1233">
        <f t="shared" si="323"/>
        <v>0</v>
      </c>
      <c r="Q255" s="1234">
        <f t="shared" si="323"/>
        <v>0</v>
      </c>
    </row>
    <row r="256" spans="1:17" s="896" customFormat="1" ht="13.5" customHeight="1">
      <c r="A256" s="1238"/>
      <c r="B256" s="1239"/>
      <c r="C256" s="1239"/>
      <c r="D256" s="1240"/>
      <c r="E256" s="1241">
        <f>E254-E255</f>
        <v>73000</v>
      </c>
      <c r="F256" s="1242">
        <f>+G251-ROUND($E$256*G250/$F$250,-3)</f>
        <v>41424000</v>
      </c>
      <c r="G256" s="1241">
        <f t="shared" ref="G256:Q256" si="325">IF(LEN(G250)&lt;=7,-3,IF(LEN(G250)=8,-4,IF(LEN(G250)&gt;=9,-5,-6)))</f>
        <v>-4</v>
      </c>
      <c r="H256" s="1241">
        <f t="shared" si="325"/>
        <v>-4</v>
      </c>
      <c r="I256" s="1241">
        <f t="shared" si="325"/>
        <v>-3</v>
      </c>
      <c r="J256" s="1241">
        <f>IF(LEN(J250)&lt;=7,-3,IF(LEN(J250)=8,-4,IF(LEN(J250)&gt;=9,-5,-6)))</f>
        <v>-5</v>
      </c>
      <c r="K256" s="1241">
        <f>IF(LEN(K250)&lt;=7,-3,IF(LEN(K250)=8,-4,IF(LEN(K250)&gt;=9,-5,-6)))</f>
        <v>-4</v>
      </c>
      <c r="L256" s="1241">
        <f t="shared" ref="L256" si="326">IF(LEN(L250)&lt;=7,-3,IF(LEN(L250)=8,-4,IF(LEN(L250)&gt;=9,-5,-6)))</f>
        <v>-4</v>
      </c>
      <c r="M256" s="1241">
        <f>IF(LEN(M250)&lt;=7,-3,IF(LEN(M250)=8,-4,IF(LEN(M250)&gt;=9,-5,-6)))</f>
        <v>-4</v>
      </c>
      <c r="N256" s="1241">
        <f>IF(LEN(N250)&lt;=7,-3,IF(LEN(N250)=8,-4,IF(LEN(N250)&gt;=9,-5,-6)))</f>
        <v>-5</v>
      </c>
      <c r="O256" s="1241">
        <f t="shared" si="325"/>
        <v>-3</v>
      </c>
      <c r="P256" s="1241">
        <f t="shared" si="325"/>
        <v>-3</v>
      </c>
      <c r="Q256" s="1243">
        <f t="shared" si="325"/>
        <v>-3</v>
      </c>
    </row>
    <row r="257" spans="1:17" s="896" customFormat="1" ht="13.5" customHeight="1">
      <c r="F257" s="1244"/>
      <c r="G257" s="1245"/>
      <c r="H257" s="1246"/>
      <c r="I257" s="1246"/>
      <c r="J257" s="1246"/>
      <c r="K257" s="1246"/>
      <c r="L257" s="1246"/>
      <c r="M257" s="1246"/>
      <c r="N257" s="1246"/>
      <c r="O257" s="1246"/>
      <c r="P257" s="1246"/>
      <c r="Q257" s="1246"/>
    </row>
    <row r="258" spans="1:17" s="896" customFormat="1" ht="15" hidden="1" customHeight="1">
      <c r="A258" s="1247"/>
      <c r="B258" s="1248"/>
      <c r="C258" s="1249" t="s">
        <v>2689</v>
      </c>
      <c r="D258" s="1250"/>
      <c r="E258" s="1248"/>
      <c r="F258" s="1251" t="s">
        <v>2690</v>
      </c>
      <c r="G258" s="1252">
        <f t="shared" ref="G258:Q258" si="327">+G84</f>
        <v>16.600000000000001</v>
      </c>
      <c r="H258" s="1252">
        <f t="shared" si="327"/>
        <v>11</v>
      </c>
      <c r="I258" s="1252">
        <f t="shared" si="327"/>
        <v>16.600000000000001</v>
      </c>
      <c r="J258" s="1252">
        <f t="shared" ref="J258:L258" si="328">+J84</f>
        <v>16.600000000000001</v>
      </c>
      <c r="K258" s="1252">
        <f t="shared" si="328"/>
        <v>16.600000000000001</v>
      </c>
      <c r="L258" s="1252">
        <f t="shared" si="328"/>
        <v>16.600000000000001</v>
      </c>
      <c r="M258" s="1252">
        <f t="shared" si="327"/>
        <v>11</v>
      </c>
      <c r="N258" s="1252">
        <f t="shared" si="327"/>
        <v>16.600000000000001</v>
      </c>
      <c r="O258" s="1252">
        <f t="shared" si="327"/>
        <v>0</v>
      </c>
      <c r="P258" s="1252">
        <f t="shared" si="327"/>
        <v>0</v>
      </c>
      <c r="Q258" s="1253">
        <f t="shared" si="327"/>
        <v>0</v>
      </c>
    </row>
    <row r="259" spans="1:17" s="896" customFormat="1" ht="15" hidden="1" customHeight="1">
      <c r="A259" s="2651"/>
      <c r="B259" s="2654" t="s">
        <v>2691</v>
      </c>
      <c r="C259" s="1254" t="s">
        <v>2692</v>
      </c>
      <c r="D259" s="1063"/>
      <c r="E259" s="1255"/>
      <c r="F259" s="1256" t="s">
        <v>2693</v>
      </c>
      <c r="G259" s="1257">
        <f>IF($F141&lt;=10000000,ROUND(7.56*(10000^-0.1105)*(G258^0.2389),2),ROUND(7.56*(($F141/1000)^-0.1105)*(G258^0.2389),2))</f>
        <v>5.35</v>
      </c>
      <c r="H259" s="1257">
        <f>IF($F141&lt;=10000000,ROUND(7.56*(10000^-0.1105)*(H258^0.2389),2),ROUND(7.56*(($F141/1000)^-0.1105)*(H258^0.2389),2))</f>
        <v>4.8499999999999996</v>
      </c>
      <c r="I259" s="1257">
        <f t="shared" ref="I259:Q259" si="329">IF($F141&lt;=10000000,ROUND(7.56*(10000^-0.1105)*(I258^0.2389),2),ROUND(7.56*(($F141/1000)^-0.1105)*(I258^0.2389),2))</f>
        <v>5.35</v>
      </c>
      <c r="J259" s="1257">
        <f t="shared" ref="J259:L259" si="330">IF($F141&lt;=10000000,ROUND(7.56*(10000^-0.1105)*(J258^0.2389),2),ROUND(7.56*(($F141/1000)^-0.1105)*(J258^0.2389),2))</f>
        <v>5.35</v>
      </c>
      <c r="K259" s="1257">
        <f t="shared" si="330"/>
        <v>5.35</v>
      </c>
      <c r="L259" s="1257">
        <f t="shared" si="330"/>
        <v>5.35</v>
      </c>
      <c r="M259" s="1257">
        <f t="shared" si="329"/>
        <v>4.8499999999999996</v>
      </c>
      <c r="N259" s="1257">
        <f t="shared" si="329"/>
        <v>5.35</v>
      </c>
      <c r="O259" s="1257">
        <f t="shared" si="329"/>
        <v>0</v>
      </c>
      <c r="P259" s="1257">
        <f t="shared" si="329"/>
        <v>0</v>
      </c>
      <c r="Q259" s="1257">
        <f t="shared" si="329"/>
        <v>0</v>
      </c>
    </row>
    <row r="260" spans="1:17" s="896" customFormat="1" ht="15" hidden="1" customHeight="1">
      <c r="A260" s="2652"/>
      <c r="B260" s="2655"/>
      <c r="C260" s="2657" t="s">
        <v>2694</v>
      </c>
      <c r="D260" s="1133"/>
      <c r="E260" s="1258"/>
      <c r="F260" s="1256" t="s">
        <v>2695</v>
      </c>
      <c r="G260" s="1259">
        <f>IF($F141&lt;=10000000,ROUND(4.33,2),0)</f>
        <v>4.33</v>
      </c>
      <c r="H260" s="1259">
        <f t="shared" ref="H260:Q260" si="331">IF($F141&lt;=10000000,ROUND(4.33,2),0)</f>
        <v>4.33</v>
      </c>
      <c r="I260" s="1259">
        <f t="shared" si="331"/>
        <v>4.33</v>
      </c>
      <c r="J260" s="1259">
        <f t="shared" ref="J260:L260" si="332">IF($F141&lt;=10000000,ROUND(4.33,2),0)</f>
        <v>4.33</v>
      </c>
      <c r="K260" s="1259">
        <f t="shared" si="332"/>
        <v>4.33</v>
      </c>
      <c r="L260" s="1259">
        <f t="shared" si="332"/>
        <v>4.33</v>
      </c>
      <c r="M260" s="1259">
        <f t="shared" si="331"/>
        <v>4.33</v>
      </c>
      <c r="N260" s="1259">
        <f t="shared" si="331"/>
        <v>4.33</v>
      </c>
      <c r="O260" s="1259">
        <f t="shared" si="331"/>
        <v>4.33</v>
      </c>
      <c r="P260" s="1259">
        <f t="shared" si="331"/>
        <v>4.33</v>
      </c>
      <c r="Q260" s="1259">
        <f t="shared" si="331"/>
        <v>4.33</v>
      </c>
    </row>
    <row r="261" spans="1:17" s="896" customFormat="1" ht="15" hidden="1" customHeight="1">
      <c r="A261" s="2652"/>
      <c r="B261" s="2655"/>
      <c r="C261" s="2658"/>
      <c r="D261" s="1260"/>
      <c r="E261" s="1261"/>
      <c r="F261" s="1256" t="s">
        <v>2696</v>
      </c>
      <c r="G261" s="1259">
        <f>IF($F141&lt;=10000000,ROUND(3.25,2),0)</f>
        <v>3.25</v>
      </c>
      <c r="H261" s="1259">
        <f t="shared" ref="H261:Q261" si="333">IF($F141&lt;=10000000,ROUND(3.25,2),0)</f>
        <v>3.25</v>
      </c>
      <c r="I261" s="1259">
        <f t="shared" si="333"/>
        <v>3.25</v>
      </c>
      <c r="J261" s="1259">
        <f t="shared" ref="J261:L261" si="334">IF($F141&lt;=10000000,ROUND(3.25,2),0)</f>
        <v>3.25</v>
      </c>
      <c r="K261" s="1259">
        <f t="shared" si="334"/>
        <v>3.25</v>
      </c>
      <c r="L261" s="1259">
        <f t="shared" si="334"/>
        <v>3.25</v>
      </c>
      <c r="M261" s="1259">
        <f t="shared" si="333"/>
        <v>3.25</v>
      </c>
      <c r="N261" s="1259">
        <f t="shared" si="333"/>
        <v>3.25</v>
      </c>
      <c r="O261" s="1259">
        <f t="shared" si="333"/>
        <v>3.25</v>
      </c>
      <c r="P261" s="1259">
        <f t="shared" si="333"/>
        <v>3.25</v>
      </c>
      <c r="Q261" s="1259">
        <f t="shared" si="333"/>
        <v>3.25</v>
      </c>
    </row>
    <row r="262" spans="1:17" s="896" customFormat="1" ht="14.25" hidden="1" customHeight="1">
      <c r="A262" s="2652"/>
      <c r="B262" s="2655"/>
      <c r="C262" s="2657" t="s">
        <v>2697</v>
      </c>
      <c r="D262" s="1133"/>
      <c r="E262" s="1258"/>
      <c r="F262" s="1256" t="s">
        <v>2695</v>
      </c>
      <c r="G262" s="1262">
        <f>IF($F141&gt;10000000,ROUND(5.78*($F141/1000)^-0.0313,2),0)</f>
        <v>0</v>
      </c>
      <c r="H262" s="1262">
        <f t="shared" ref="H262:Q262" si="335">IF($F141&gt;10000000,ROUND(5.78*($F141/1000)^-0.0313,2),0)</f>
        <v>0</v>
      </c>
      <c r="I262" s="1262">
        <f t="shared" si="335"/>
        <v>0</v>
      </c>
      <c r="J262" s="1262">
        <f t="shared" ref="J262:L262" si="336">IF($F141&gt;10000000,ROUND(5.78*($F141/1000)^-0.0313,2),0)</f>
        <v>0</v>
      </c>
      <c r="K262" s="1262">
        <f t="shared" si="336"/>
        <v>0</v>
      </c>
      <c r="L262" s="1262">
        <f t="shared" si="336"/>
        <v>0</v>
      </c>
      <c r="M262" s="1262">
        <f t="shared" si="335"/>
        <v>0</v>
      </c>
      <c r="N262" s="1262">
        <f t="shared" si="335"/>
        <v>0</v>
      </c>
      <c r="O262" s="1262">
        <f t="shared" si="335"/>
        <v>0</v>
      </c>
      <c r="P262" s="1262">
        <f t="shared" si="335"/>
        <v>0</v>
      </c>
      <c r="Q262" s="1262">
        <f t="shared" si="335"/>
        <v>0</v>
      </c>
    </row>
    <row r="263" spans="1:17" s="896" customFormat="1" ht="15" hidden="1" customHeight="1">
      <c r="A263" s="2653"/>
      <c r="B263" s="2656"/>
      <c r="C263" s="2658"/>
      <c r="D263" s="1260"/>
      <c r="E263" s="1261"/>
      <c r="F263" s="1256" t="s">
        <v>2696</v>
      </c>
      <c r="G263" s="1262">
        <f>IF($F141&gt;10000000,ROUND(4.34*($F141/1000)^-0.0313,2),0)</f>
        <v>0</v>
      </c>
      <c r="H263" s="1262">
        <f t="shared" ref="H263:Q263" si="337">IF($F141&gt;10000000,ROUND(4.34*($F141/1000)^-0.0313,2),0)</f>
        <v>0</v>
      </c>
      <c r="I263" s="1262">
        <f t="shared" si="337"/>
        <v>0</v>
      </c>
      <c r="J263" s="1262">
        <f t="shared" ref="J263:L263" si="338">IF($F141&gt;10000000,ROUND(4.34*($F141/1000)^-0.0313,2),0)</f>
        <v>0</v>
      </c>
      <c r="K263" s="1262">
        <f t="shared" si="338"/>
        <v>0</v>
      </c>
      <c r="L263" s="1262">
        <f t="shared" si="338"/>
        <v>0</v>
      </c>
      <c r="M263" s="1262">
        <f t="shared" si="337"/>
        <v>0</v>
      </c>
      <c r="N263" s="1262">
        <f t="shared" si="337"/>
        <v>0</v>
      </c>
      <c r="O263" s="1262">
        <f t="shared" si="337"/>
        <v>0</v>
      </c>
      <c r="P263" s="1262">
        <f t="shared" si="337"/>
        <v>0</v>
      </c>
      <c r="Q263" s="1262">
        <f t="shared" si="337"/>
        <v>0</v>
      </c>
    </row>
    <row r="264" spans="1:17" s="896" customFormat="1" ht="15" hidden="1" customHeight="1">
      <c r="A264" s="2645" t="s">
        <v>2698</v>
      </c>
      <c r="B264" s="2646"/>
      <c r="C264" s="2646"/>
      <c r="D264" s="2646"/>
      <c r="E264" s="2646"/>
      <c r="F264" s="2647"/>
      <c r="G264" s="1262">
        <f>IF($F141&lt;=10000000,IF(G$259&gt;G$260,G$260,IF(G$259&lt;G$261,G$261,G$259)),IF(G$259&gt;G$262,G$262,IF(G$259&lt;G$263,G$263,G$259)))</f>
        <v>4.33</v>
      </c>
      <c r="H264" s="1262">
        <f t="shared" ref="H264:Q264" si="339">IF($F141&lt;=10000000,IF(H$259&gt;H$260,H$260,IF(H$259&lt;H$261,H$261,H$259)),IF(H$259&gt;H$262,H$262,IF(H$259&lt;H$263,H$263,H$259)))</f>
        <v>4.33</v>
      </c>
      <c r="I264" s="1262">
        <f t="shared" si="339"/>
        <v>4.33</v>
      </c>
      <c r="J264" s="1262">
        <f t="shared" ref="J264:L264" si="340">IF($F141&lt;=10000000,IF(J$259&gt;J$260,J$260,IF(J$259&lt;J$261,J$261,J$259)),IF(J$259&gt;J$262,J$262,IF(J$259&lt;J$263,J$263,J$259)))</f>
        <v>4.33</v>
      </c>
      <c r="K264" s="1262">
        <f t="shared" si="340"/>
        <v>4.33</v>
      </c>
      <c r="L264" s="1262">
        <f t="shared" si="340"/>
        <v>4.33</v>
      </c>
      <c r="M264" s="1262">
        <f t="shared" si="339"/>
        <v>4.33</v>
      </c>
      <c r="N264" s="1262">
        <f t="shared" si="339"/>
        <v>4.33</v>
      </c>
      <c r="O264" s="1262">
        <f t="shared" si="339"/>
        <v>3.25</v>
      </c>
      <c r="P264" s="1262">
        <f t="shared" si="339"/>
        <v>3.25</v>
      </c>
      <c r="Q264" s="1262">
        <f t="shared" si="339"/>
        <v>3.25</v>
      </c>
    </row>
    <row r="265" spans="1:17" s="896" customFormat="1" ht="15" hidden="1" customHeight="1" thickBot="1">
      <c r="A265" s="2648" t="s">
        <v>2699</v>
      </c>
      <c r="B265" s="2649"/>
      <c r="C265" s="2649"/>
      <c r="D265" s="2649"/>
      <c r="E265" s="2649"/>
      <c r="F265" s="2650"/>
      <c r="G265" s="1263">
        <f>ROUND(G264*IF(AND(G89="駅施設",G90="無し"),0.7,IF(AND(G89="駅施設",G90="有り"),0.7,IF(AND(G89="地上建物",G90="無し"),0.9,IF(AND(G89="地上建物",G90="有り"),1,0)))),2)</f>
        <v>3.03</v>
      </c>
      <c r="H265" s="1263">
        <f t="shared" ref="H265:Q265" si="341">ROUND(H264*IF(AND(H89="駅施設",H90="無し"),0.7,IF(AND(H89="駅施設",H90="有り"),0.7,IF(AND(H89="地上建物",H90="無し"),0.9,IF(AND(H89="地上建物",H90="有り"),1,0)))),2)</f>
        <v>3.03</v>
      </c>
      <c r="I265" s="1263">
        <f t="shared" si="341"/>
        <v>3.03</v>
      </c>
      <c r="J265" s="1263">
        <f t="shared" ref="J265:L265" si="342">ROUND(J264*IF(AND(J89="駅施設",J90="無し"),0.7,IF(AND(J89="駅施設",J90="有り"),0.7,IF(AND(J89="地上建物",J90="無し"),0.9,IF(AND(J89="地上建物",J90="有り"),1,0)))),2)</f>
        <v>3.03</v>
      </c>
      <c r="K265" s="1263">
        <f t="shared" si="342"/>
        <v>3.03</v>
      </c>
      <c r="L265" s="1263">
        <f t="shared" si="342"/>
        <v>3.03</v>
      </c>
      <c r="M265" s="1263">
        <f t="shared" si="341"/>
        <v>3.03</v>
      </c>
      <c r="N265" s="1263">
        <f t="shared" si="341"/>
        <v>3.03</v>
      </c>
      <c r="O265" s="1263">
        <f t="shared" si="341"/>
        <v>2.2799999999999998</v>
      </c>
      <c r="P265" s="1263">
        <f t="shared" si="341"/>
        <v>2.2799999999999998</v>
      </c>
      <c r="Q265" s="1263">
        <f t="shared" si="341"/>
        <v>2.2799999999999998</v>
      </c>
    </row>
    <row r="266" spans="1:17" s="896" customFormat="1" ht="15" hidden="1" customHeight="1" thickBot="1">
      <c r="G266" s="1264"/>
      <c r="H266" s="1264"/>
      <c r="I266" s="1264"/>
      <c r="J266" s="1264"/>
      <c r="K266" s="1264"/>
      <c r="L266" s="1264"/>
      <c r="M266" s="1264"/>
      <c r="N266" s="1264"/>
      <c r="O266" s="1264"/>
      <c r="P266" s="1264"/>
      <c r="Q266" s="1264"/>
    </row>
    <row r="267" spans="1:17" s="896" customFormat="1" ht="15" hidden="1" customHeight="1">
      <c r="A267" s="1247"/>
      <c r="B267" s="1248"/>
      <c r="C267" s="1249" t="s">
        <v>2689</v>
      </c>
      <c r="D267" s="1250"/>
      <c r="E267" s="1248"/>
      <c r="F267" s="1251" t="s">
        <v>2690</v>
      </c>
      <c r="G267" s="1252">
        <f t="shared" ref="G267:Q267" si="343">+G84</f>
        <v>16.600000000000001</v>
      </c>
      <c r="H267" s="1252">
        <f t="shared" si="343"/>
        <v>11</v>
      </c>
      <c r="I267" s="1252">
        <f t="shared" si="343"/>
        <v>16.600000000000001</v>
      </c>
      <c r="J267" s="1252">
        <f t="shared" ref="J267:L267" si="344">+J84</f>
        <v>16.600000000000001</v>
      </c>
      <c r="K267" s="1252">
        <f t="shared" si="344"/>
        <v>16.600000000000001</v>
      </c>
      <c r="L267" s="1252">
        <f t="shared" si="344"/>
        <v>16.600000000000001</v>
      </c>
      <c r="M267" s="1252">
        <f t="shared" si="343"/>
        <v>11</v>
      </c>
      <c r="N267" s="1252">
        <f t="shared" si="343"/>
        <v>16.600000000000001</v>
      </c>
      <c r="O267" s="1252">
        <f t="shared" si="343"/>
        <v>0</v>
      </c>
      <c r="P267" s="1252">
        <f t="shared" si="343"/>
        <v>0</v>
      </c>
      <c r="Q267" s="1253">
        <f t="shared" si="343"/>
        <v>0</v>
      </c>
    </row>
    <row r="268" spans="1:17" s="896" customFormat="1" ht="15" hidden="1" customHeight="1">
      <c r="A268" s="2651"/>
      <c r="B268" s="2654" t="s">
        <v>2700</v>
      </c>
      <c r="C268" s="1254" t="s">
        <v>2692</v>
      </c>
      <c r="D268" s="1063"/>
      <c r="E268" s="1255"/>
      <c r="F268" s="1256" t="s">
        <v>2701</v>
      </c>
      <c r="G268" s="1257">
        <f>IF($F141&lt;=5000000,ROUND(18.03*(5000^-0.2027)*(G267^0.4017),2),ROUND(18.03*(($F141/1000)^-0.2027)*(G267^0.4017),2))</f>
        <v>9.92</v>
      </c>
      <c r="H268" s="1257">
        <f t="shared" ref="H268:Q268" si="345">IF($F141&lt;=5000000,ROUND(18.03*(5000^-0.2027)*(H267^0.4017),2),ROUND(18.03*(($F141/1000)^-0.2027)*(H267^0.4017),2))</f>
        <v>8.41</v>
      </c>
      <c r="I268" s="1257">
        <f t="shared" si="345"/>
        <v>9.92</v>
      </c>
      <c r="J268" s="1257">
        <f t="shared" ref="J268:L268" si="346">IF($F141&lt;=5000000,ROUND(18.03*(5000^-0.2027)*(J267^0.4017),2),ROUND(18.03*(($F141/1000)^-0.2027)*(J267^0.4017),2))</f>
        <v>9.92</v>
      </c>
      <c r="K268" s="1257">
        <f t="shared" si="346"/>
        <v>9.92</v>
      </c>
      <c r="L268" s="1257">
        <f t="shared" si="346"/>
        <v>9.92</v>
      </c>
      <c r="M268" s="1257">
        <f t="shared" si="345"/>
        <v>8.41</v>
      </c>
      <c r="N268" s="1257">
        <f t="shared" si="345"/>
        <v>9.92</v>
      </c>
      <c r="O268" s="1257">
        <f t="shared" si="345"/>
        <v>0</v>
      </c>
      <c r="P268" s="1257">
        <f t="shared" si="345"/>
        <v>0</v>
      </c>
      <c r="Q268" s="1257">
        <f t="shared" si="345"/>
        <v>0</v>
      </c>
    </row>
    <row r="269" spans="1:17" s="896" customFormat="1" ht="15" hidden="1" customHeight="1">
      <c r="A269" s="2652"/>
      <c r="B269" s="2655"/>
      <c r="C269" s="2657" t="s">
        <v>2702</v>
      </c>
      <c r="D269" s="1133"/>
      <c r="E269" s="1258"/>
      <c r="F269" s="1256" t="s">
        <v>2695</v>
      </c>
      <c r="G269" s="1259">
        <f>IF($F141&lt;=5000000,ROUND(6.07,2),0)</f>
        <v>6.07</v>
      </c>
      <c r="H269" s="1259">
        <f t="shared" ref="H269:Q269" si="347">IF($F141&lt;=5000000,ROUND(6.07,2),0)</f>
        <v>6.07</v>
      </c>
      <c r="I269" s="1259">
        <f t="shared" si="347"/>
        <v>6.07</v>
      </c>
      <c r="J269" s="1259">
        <f t="shared" ref="J269:L269" si="348">IF($F141&lt;=5000000,ROUND(6.07,2),0)</f>
        <v>6.07</v>
      </c>
      <c r="K269" s="1259">
        <f t="shared" si="348"/>
        <v>6.07</v>
      </c>
      <c r="L269" s="1259">
        <f t="shared" si="348"/>
        <v>6.07</v>
      </c>
      <c r="M269" s="1259">
        <f t="shared" si="347"/>
        <v>6.07</v>
      </c>
      <c r="N269" s="1259">
        <f t="shared" si="347"/>
        <v>6.07</v>
      </c>
      <c r="O269" s="1259">
        <f t="shared" si="347"/>
        <v>6.07</v>
      </c>
      <c r="P269" s="1259">
        <f t="shared" si="347"/>
        <v>6.07</v>
      </c>
      <c r="Q269" s="1259">
        <f t="shared" si="347"/>
        <v>6.07</v>
      </c>
    </row>
    <row r="270" spans="1:17" s="896" customFormat="1" ht="15" hidden="1" customHeight="1">
      <c r="A270" s="2652"/>
      <c r="B270" s="2655"/>
      <c r="C270" s="2658"/>
      <c r="D270" s="1260"/>
      <c r="E270" s="1261"/>
      <c r="F270" s="1256" t="s">
        <v>2696</v>
      </c>
      <c r="G270" s="1259">
        <f>IF($F141&lt;=5000000,ROUND(3.59,2),0)</f>
        <v>3.59</v>
      </c>
      <c r="H270" s="1259">
        <f t="shared" ref="H270:Q270" si="349">IF($F141&lt;=5000000,ROUND(3.59,2),0)</f>
        <v>3.59</v>
      </c>
      <c r="I270" s="1259">
        <f t="shared" si="349"/>
        <v>3.59</v>
      </c>
      <c r="J270" s="1259">
        <f t="shared" ref="J270:L270" si="350">IF($F141&lt;=5000000,ROUND(3.59,2),0)</f>
        <v>3.59</v>
      </c>
      <c r="K270" s="1259">
        <f t="shared" si="350"/>
        <v>3.59</v>
      </c>
      <c r="L270" s="1259">
        <f t="shared" si="350"/>
        <v>3.59</v>
      </c>
      <c r="M270" s="1259">
        <f t="shared" si="349"/>
        <v>3.59</v>
      </c>
      <c r="N270" s="1259">
        <f t="shared" si="349"/>
        <v>3.59</v>
      </c>
      <c r="O270" s="1259">
        <f t="shared" si="349"/>
        <v>3.59</v>
      </c>
      <c r="P270" s="1259">
        <f t="shared" si="349"/>
        <v>3.59</v>
      </c>
      <c r="Q270" s="1259">
        <f t="shared" si="349"/>
        <v>3.59</v>
      </c>
    </row>
    <row r="271" spans="1:17" s="896" customFormat="1" ht="15" hidden="1" customHeight="1">
      <c r="A271" s="2652"/>
      <c r="B271" s="2655"/>
      <c r="C271" s="2657" t="s">
        <v>2703</v>
      </c>
      <c r="D271" s="1133"/>
      <c r="E271" s="1258"/>
      <c r="F271" s="1256" t="s">
        <v>2695</v>
      </c>
      <c r="G271" s="1262">
        <f>IF($F141&gt;5000000,ROUND(11.74*($F141/1000)^-0.0774,2),0)</f>
        <v>0</v>
      </c>
      <c r="H271" s="1262">
        <f t="shared" ref="H271:Q271" si="351">IF($F141&gt;5000000,ROUND(11.74*($F141/1000)^-0.0774,2),0)</f>
        <v>0</v>
      </c>
      <c r="I271" s="1262">
        <f t="shared" si="351"/>
        <v>0</v>
      </c>
      <c r="J271" s="1262">
        <f t="shared" ref="J271:L271" si="352">IF($F141&gt;5000000,ROUND(11.74*($F141/1000)^-0.0774,2),0)</f>
        <v>0</v>
      </c>
      <c r="K271" s="1262">
        <f t="shared" si="352"/>
        <v>0</v>
      </c>
      <c r="L271" s="1262">
        <f t="shared" si="352"/>
        <v>0</v>
      </c>
      <c r="M271" s="1262">
        <f t="shared" si="351"/>
        <v>0</v>
      </c>
      <c r="N271" s="1262">
        <f t="shared" si="351"/>
        <v>0</v>
      </c>
      <c r="O271" s="1262">
        <f t="shared" si="351"/>
        <v>0</v>
      </c>
      <c r="P271" s="1262">
        <f t="shared" si="351"/>
        <v>0</v>
      </c>
      <c r="Q271" s="1262">
        <f t="shared" si="351"/>
        <v>0</v>
      </c>
    </row>
    <row r="272" spans="1:17" s="896" customFormat="1" ht="15" hidden="1" customHeight="1">
      <c r="A272" s="2653"/>
      <c r="B272" s="2656"/>
      <c r="C272" s="2658"/>
      <c r="D272" s="1260"/>
      <c r="E272" s="1261"/>
      <c r="F272" s="1256" t="s">
        <v>2696</v>
      </c>
      <c r="G272" s="1262">
        <f>IF($F141&gt;5000000,ROUND(6.94*($F141/1000)^-0.0774,2),0)</f>
        <v>0</v>
      </c>
      <c r="H272" s="1262">
        <f t="shared" ref="H272:Q272" si="353">IF($F141&gt;5000000,ROUND(6.94*($F141/1000)^-0.0774,2),0)</f>
        <v>0</v>
      </c>
      <c r="I272" s="1262">
        <f t="shared" si="353"/>
        <v>0</v>
      </c>
      <c r="J272" s="1262">
        <f t="shared" ref="J272:L272" si="354">IF($F141&gt;5000000,ROUND(6.94*($F141/1000)^-0.0774,2),0)</f>
        <v>0</v>
      </c>
      <c r="K272" s="1262">
        <f t="shared" si="354"/>
        <v>0</v>
      </c>
      <c r="L272" s="1262">
        <f t="shared" si="354"/>
        <v>0</v>
      </c>
      <c r="M272" s="1262">
        <f t="shared" si="353"/>
        <v>0</v>
      </c>
      <c r="N272" s="1262">
        <f t="shared" si="353"/>
        <v>0</v>
      </c>
      <c r="O272" s="1262">
        <f t="shared" si="353"/>
        <v>0</v>
      </c>
      <c r="P272" s="1262">
        <f t="shared" si="353"/>
        <v>0</v>
      </c>
      <c r="Q272" s="1262">
        <f t="shared" si="353"/>
        <v>0</v>
      </c>
    </row>
    <row r="273" spans="1:17" s="896" customFormat="1" ht="15" hidden="1" customHeight="1">
      <c r="A273" s="2645" t="s">
        <v>2698</v>
      </c>
      <c r="B273" s="2646"/>
      <c r="C273" s="2646"/>
      <c r="D273" s="2646"/>
      <c r="E273" s="2646"/>
      <c r="F273" s="2647"/>
      <c r="G273" s="1265">
        <f>IF($F141&lt;=5000000,IF(G$268&gt;G$269,G$269,IF(G$268&lt;G$270,G$270,G$268)),IF(G$268&gt;G$271,G$271,IF(G$268&lt;G$272,G$272,G$268)))</f>
        <v>6.07</v>
      </c>
      <c r="H273" s="1265">
        <f t="shared" ref="H273:Q273" si="355">IF($F141&lt;=5000000,IF(H$268&gt;H$269,H$269,IF(H$268&lt;H$270,H$270,H$268)),IF(H$268&gt;H$271,H$271,IF(H$268&lt;H$272,H$272,H$268)))</f>
        <v>6.07</v>
      </c>
      <c r="I273" s="1265">
        <f t="shared" si="355"/>
        <v>6.07</v>
      </c>
      <c r="J273" s="1265">
        <f t="shared" ref="J273:L273" si="356">IF($F141&lt;=5000000,IF(J$268&gt;J$269,J$269,IF(J$268&lt;J$270,J$270,J$268)),IF(J$268&gt;J$271,J$271,IF(J$268&lt;J$272,J$272,J$268)))</f>
        <v>6.07</v>
      </c>
      <c r="K273" s="1265">
        <f t="shared" si="356"/>
        <v>6.07</v>
      </c>
      <c r="L273" s="1265">
        <f t="shared" si="356"/>
        <v>6.07</v>
      </c>
      <c r="M273" s="1265">
        <f t="shared" si="355"/>
        <v>6.07</v>
      </c>
      <c r="N273" s="1265">
        <f t="shared" si="355"/>
        <v>6.07</v>
      </c>
      <c r="O273" s="1265">
        <f t="shared" si="355"/>
        <v>3.59</v>
      </c>
      <c r="P273" s="1265">
        <f t="shared" si="355"/>
        <v>3.59</v>
      </c>
      <c r="Q273" s="1265">
        <f t="shared" si="355"/>
        <v>3.59</v>
      </c>
    </row>
    <row r="274" spans="1:17" s="896" customFormat="1" ht="15" hidden="1" customHeight="1" thickBot="1">
      <c r="A274" s="2648" t="s">
        <v>2699</v>
      </c>
      <c r="B274" s="2649"/>
      <c r="C274" s="2649"/>
      <c r="D274" s="2649"/>
      <c r="E274" s="2649"/>
      <c r="F274" s="2650"/>
      <c r="G274" s="1263">
        <f>ROUND(G273*IF(AND(G89="駅施設",G90="無し"),0.7,IF(AND(G89="駅施設",G90="有り"),0.7,IF(AND(G89="地上建物",G90="無し"),0.9,IF(AND(G89="地上建物",G90="有り"),1,0)))),2)</f>
        <v>4.25</v>
      </c>
      <c r="H274" s="1263">
        <f t="shared" ref="H274:Q274" si="357">ROUND(H273*IF(AND(H89="駅施設",H90="無し"),0.7,IF(AND(H89="駅施設",H90="有り"),0.7,IF(AND(H89="地上建物",H90="無し"),0.9,IF(AND(H89="地上建物",H90="有り"),1,0)))),2)</f>
        <v>4.25</v>
      </c>
      <c r="I274" s="1263">
        <f t="shared" si="357"/>
        <v>4.25</v>
      </c>
      <c r="J274" s="1263">
        <f t="shared" ref="J274:L274" si="358">ROUND(J273*IF(AND(J89="駅施設",J90="無し"),0.7,IF(AND(J89="駅施設",J90="有り"),0.7,IF(AND(J89="地上建物",J90="無し"),0.9,IF(AND(J89="地上建物",J90="有り"),1,0)))),2)</f>
        <v>4.25</v>
      </c>
      <c r="K274" s="1263">
        <f t="shared" si="358"/>
        <v>4.25</v>
      </c>
      <c r="L274" s="1263">
        <f t="shared" si="358"/>
        <v>4.25</v>
      </c>
      <c r="M274" s="1263">
        <f t="shared" si="357"/>
        <v>4.25</v>
      </c>
      <c r="N274" s="1263">
        <f t="shared" si="357"/>
        <v>4.25</v>
      </c>
      <c r="O274" s="1263">
        <f t="shared" si="357"/>
        <v>2.5099999999999998</v>
      </c>
      <c r="P274" s="1263">
        <f t="shared" si="357"/>
        <v>2.5099999999999998</v>
      </c>
      <c r="Q274" s="1263">
        <f t="shared" si="357"/>
        <v>2.5099999999999998</v>
      </c>
    </row>
    <row r="275" spans="1:17" s="896" customFormat="1" ht="15" hidden="1" customHeight="1" thickBot="1">
      <c r="G275" s="1246"/>
      <c r="H275" s="1246"/>
      <c r="I275" s="1246"/>
      <c r="J275" s="1246"/>
      <c r="K275" s="1246"/>
      <c r="L275" s="1246"/>
      <c r="M275" s="1246"/>
      <c r="N275" s="1246"/>
      <c r="O275" s="1246"/>
      <c r="P275" s="1246"/>
      <c r="Q275" s="1246"/>
    </row>
    <row r="276" spans="1:17" s="896" customFormat="1" ht="15" hidden="1" customHeight="1">
      <c r="A276" s="1247"/>
      <c r="B276" s="1248"/>
      <c r="C276" s="1249" t="s">
        <v>2704</v>
      </c>
      <c r="D276" s="1250"/>
      <c r="E276" s="1248"/>
      <c r="F276" s="1251" t="s">
        <v>2690</v>
      </c>
      <c r="G276" s="1252">
        <f>+G284</f>
        <v>16.600000000000001</v>
      </c>
      <c r="H276" s="1252">
        <f t="shared" ref="H276:Q276" si="359">+H284</f>
        <v>11</v>
      </c>
      <c r="I276" s="1252">
        <f t="shared" si="359"/>
        <v>16.600000000000001</v>
      </c>
      <c r="J276" s="1252">
        <f t="shared" ref="J276" si="360">+J284</f>
        <v>16.600000000000001</v>
      </c>
      <c r="K276" s="1252">
        <f>+K284</f>
        <v>16.600000000000001</v>
      </c>
      <c r="L276" s="1252">
        <f t="shared" ref="L276" si="361">+L284</f>
        <v>16.600000000000001</v>
      </c>
      <c r="M276" s="1252">
        <f t="shared" si="359"/>
        <v>11</v>
      </c>
      <c r="N276" s="1252">
        <f>+N284</f>
        <v>16.600000000000001</v>
      </c>
      <c r="O276" s="1252">
        <f t="shared" si="359"/>
        <v>0</v>
      </c>
      <c r="P276" s="1252">
        <f t="shared" si="359"/>
        <v>0</v>
      </c>
      <c r="Q276" s="1253">
        <f t="shared" si="359"/>
        <v>0</v>
      </c>
    </row>
    <row r="277" spans="1:17" s="896" customFormat="1" ht="15" hidden="1" customHeight="1">
      <c r="A277" s="2651"/>
      <c r="B277" s="2654" t="s">
        <v>2691</v>
      </c>
      <c r="C277" s="1254" t="s">
        <v>2705</v>
      </c>
      <c r="D277" s="1063"/>
      <c r="E277" s="1255"/>
      <c r="F277" s="1256" t="s">
        <v>2706</v>
      </c>
      <c r="G277" s="1257">
        <f>IF($F180&lt;=10000000,ROUND(151.08*((10000)^-0.3396)*(G276^0.586),2),ROUND(151.08*(($F180/1000)^-0.3396)*(G276^0.586),2))</f>
        <v>34.340000000000003</v>
      </c>
      <c r="H277" s="1257">
        <f t="shared" ref="H277:Q277" si="362">IF($F180&lt;=10000000,ROUND(151.08*((10000)^-0.3396)*(H276^0.586),2),ROUND(151.08*(($F180/1000)^-0.3396)*(H276^0.586),2))</f>
        <v>26.98</v>
      </c>
      <c r="I277" s="1257">
        <f t="shared" si="362"/>
        <v>34.340000000000003</v>
      </c>
      <c r="J277" s="1257">
        <f t="shared" ref="J277:L277" si="363">IF($F180&lt;=10000000,ROUND(151.08*((10000)^-0.3396)*(J276^0.586),2),ROUND(151.08*(($F180/1000)^-0.3396)*(J276^0.586),2))</f>
        <v>34.340000000000003</v>
      </c>
      <c r="K277" s="1257">
        <f t="shared" si="363"/>
        <v>34.340000000000003</v>
      </c>
      <c r="L277" s="1257">
        <f t="shared" si="363"/>
        <v>34.340000000000003</v>
      </c>
      <c r="M277" s="1257">
        <f t="shared" si="362"/>
        <v>26.98</v>
      </c>
      <c r="N277" s="1257">
        <f t="shared" si="362"/>
        <v>34.340000000000003</v>
      </c>
      <c r="O277" s="1257">
        <f t="shared" si="362"/>
        <v>0</v>
      </c>
      <c r="P277" s="1257">
        <f t="shared" si="362"/>
        <v>0</v>
      </c>
      <c r="Q277" s="1257">
        <f t="shared" si="362"/>
        <v>0</v>
      </c>
    </row>
    <row r="278" spans="1:17" s="896" customFormat="1" ht="15" hidden="1" customHeight="1">
      <c r="A278" s="2652"/>
      <c r="B278" s="2655"/>
      <c r="C278" s="2657" t="s">
        <v>2707</v>
      </c>
      <c r="D278" s="1133"/>
      <c r="E278" s="1258"/>
      <c r="F278" s="1256" t="s">
        <v>2695</v>
      </c>
      <c r="G278" s="1259">
        <f>IF($F180&lt;=10000000,ROUND(20.13,2),0)</f>
        <v>20.13</v>
      </c>
      <c r="H278" s="1259">
        <f t="shared" ref="H278:Q278" si="364">IF($F180&lt;=10000000,ROUND(20.13,2),0)</f>
        <v>20.13</v>
      </c>
      <c r="I278" s="1259">
        <f t="shared" si="364"/>
        <v>20.13</v>
      </c>
      <c r="J278" s="1259">
        <f t="shared" ref="J278:L278" si="365">IF($F180&lt;=10000000,ROUND(20.13,2),0)</f>
        <v>20.13</v>
      </c>
      <c r="K278" s="1259">
        <f t="shared" si="365"/>
        <v>20.13</v>
      </c>
      <c r="L278" s="1259">
        <f t="shared" si="365"/>
        <v>20.13</v>
      </c>
      <c r="M278" s="1259">
        <f t="shared" si="364"/>
        <v>20.13</v>
      </c>
      <c r="N278" s="1259">
        <f t="shared" si="364"/>
        <v>20.13</v>
      </c>
      <c r="O278" s="1259">
        <f t="shared" si="364"/>
        <v>20.13</v>
      </c>
      <c r="P278" s="1259">
        <f t="shared" si="364"/>
        <v>20.13</v>
      </c>
      <c r="Q278" s="1259">
        <f t="shared" si="364"/>
        <v>20.13</v>
      </c>
    </row>
    <row r="279" spans="1:17" s="896" customFormat="1" ht="15" hidden="1" customHeight="1">
      <c r="A279" s="2652"/>
      <c r="B279" s="2655"/>
      <c r="C279" s="2658"/>
      <c r="D279" s="1260"/>
      <c r="E279" s="1261"/>
      <c r="F279" s="1256" t="s">
        <v>2696</v>
      </c>
      <c r="G279" s="1259">
        <f>IF($F180&lt;=10000000,ROUND(10.01,2),0)</f>
        <v>10.01</v>
      </c>
      <c r="H279" s="1259">
        <f t="shared" ref="H279:Q279" si="366">IF($F180&lt;=10000000,ROUND(10.01,2),0)</f>
        <v>10.01</v>
      </c>
      <c r="I279" s="1259">
        <f t="shared" si="366"/>
        <v>10.01</v>
      </c>
      <c r="J279" s="1259">
        <f t="shared" ref="J279:L279" si="367">IF($F180&lt;=10000000,ROUND(10.01,2),0)</f>
        <v>10.01</v>
      </c>
      <c r="K279" s="1259">
        <f t="shared" si="367"/>
        <v>10.01</v>
      </c>
      <c r="L279" s="1259">
        <f t="shared" si="367"/>
        <v>10.01</v>
      </c>
      <c r="M279" s="1259">
        <f t="shared" si="366"/>
        <v>10.01</v>
      </c>
      <c r="N279" s="1259">
        <f t="shared" si="366"/>
        <v>10.01</v>
      </c>
      <c r="O279" s="1259">
        <f t="shared" si="366"/>
        <v>10.01</v>
      </c>
      <c r="P279" s="1259">
        <f t="shared" si="366"/>
        <v>10.01</v>
      </c>
      <c r="Q279" s="1259">
        <f t="shared" si="366"/>
        <v>10.01</v>
      </c>
    </row>
    <row r="280" spans="1:17" s="896" customFormat="1" ht="15" hidden="1" customHeight="1">
      <c r="A280" s="2652"/>
      <c r="B280" s="2655"/>
      <c r="C280" s="2657" t="s">
        <v>2708</v>
      </c>
      <c r="D280" s="1133"/>
      <c r="E280" s="1258"/>
      <c r="F280" s="1256" t="s">
        <v>2695</v>
      </c>
      <c r="G280" s="1262">
        <f>IF($F180&gt;10000000,ROUND(75.97*($F180/1000)^-0.1442,2),0)</f>
        <v>0</v>
      </c>
      <c r="H280" s="1262">
        <f t="shared" ref="H280:Q280" si="368">IF($F180&gt;10000000,ROUND(75.97*($F180/1000)^-0.1442,2),0)</f>
        <v>0</v>
      </c>
      <c r="I280" s="1262">
        <f t="shared" si="368"/>
        <v>0</v>
      </c>
      <c r="J280" s="1262">
        <f t="shared" ref="J280:L280" si="369">IF($F180&gt;10000000,ROUND(75.97*($F180/1000)^-0.1442,2),0)</f>
        <v>0</v>
      </c>
      <c r="K280" s="1262">
        <f t="shared" si="369"/>
        <v>0</v>
      </c>
      <c r="L280" s="1262">
        <f t="shared" si="369"/>
        <v>0</v>
      </c>
      <c r="M280" s="1262">
        <f t="shared" si="368"/>
        <v>0</v>
      </c>
      <c r="N280" s="1262">
        <f t="shared" si="368"/>
        <v>0</v>
      </c>
      <c r="O280" s="1262">
        <f t="shared" si="368"/>
        <v>0</v>
      </c>
      <c r="P280" s="1262">
        <f t="shared" si="368"/>
        <v>0</v>
      </c>
      <c r="Q280" s="1262">
        <f t="shared" si="368"/>
        <v>0</v>
      </c>
    </row>
    <row r="281" spans="1:17" s="896" customFormat="1" ht="15" hidden="1" customHeight="1">
      <c r="A281" s="2653"/>
      <c r="B281" s="2656"/>
      <c r="C281" s="2658"/>
      <c r="D281" s="1260"/>
      <c r="E281" s="1261"/>
      <c r="F281" s="1256" t="s">
        <v>2696</v>
      </c>
      <c r="G281" s="1262">
        <f>IF($F180&gt;10000000,ROUND(37.76*($F180/1000)^-0.1442,2),0)</f>
        <v>0</v>
      </c>
      <c r="H281" s="1262">
        <f t="shared" ref="H281:Q281" si="370">IF($F180&gt;10000000,ROUND(37.76*($F180/1000)^-0.1442,2),0)</f>
        <v>0</v>
      </c>
      <c r="I281" s="1262">
        <f t="shared" si="370"/>
        <v>0</v>
      </c>
      <c r="J281" s="1262">
        <f t="shared" ref="J281:L281" si="371">IF($F180&gt;10000000,ROUND(37.76*($F180/1000)^-0.1442,2),0)</f>
        <v>0</v>
      </c>
      <c r="K281" s="1262">
        <f t="shared" si="371"/>
        <v>0</v>
      </c>
      <c r="L281" s="1262">
        <f t="shared" si="371"/>
        <v>0</v>
      </c>
      <c r="M281" s="1262">
        <f t="shared" si="370"/>
        <v>0</v>
      </c>
      <c r="N281" s="1262">
        <f t="shared" si="370"/>
        <v>0</v>
      </c>
      <c r="O281" s="1262">
        <f t="shared" si="370"/>
        <v>0</v>
      </c>
      <c r="P281" s="1262">
        <f t="shared" si="370"/>
        <v>0</v>
      </c>
      <c r="Q281" s="1262">
        <f t="shared" si="370"/>
        <v>0</v>
      </c>
    </row>
    <row r="282" spans="1:17" s="896" customFormat="1" ht="15" hidden="1" customHeight="1" thickBot="1">
      <c r="A282" s="2660" t="s">
        <v>2709</v>
      </c>
      <c r="B282" s="2661"/>
      <c r="C282" s="2661"/>
      <c r="D282" s="2661"/>
      <c r="E282" s="1266"/>
      <c r="F282" s="1267"/>
      <c r="G282" s="1268">
        <f>IF($F180&lt;=10000000,IF(G$277&gt;G$278,G$278,IF(G$277&lt;G$279,G$279,G$277)),IF(G$277&gt;G$280,G$280,IF(G$277&lt;G$281,G$281,G$277)))</f>
        <v>20.13</v>
      </c>
      <c r="H282" s="1268">
        <f t="shared" ref="H282:Q282" si="372">IF($F180&lt;=10000000,IF(H$277&gt;H$278,H$278,IF(H$277&lt;H$279,H$279,H$277)),IF(H$277&gt;H$280,H$280,IF(H$277&lt;H$281,H$281,H$277)))</f>
        <v>20.13</v>
      </c>
      <c r="I282" s="1268">
        <f t="shared" si="372"/>
        <v>20.13</v>
      </c>
      <c r="J282" s="1268">
        <f t="shared" ref="J282:L282" si="373">IF($F180&lt;=10000000,IF(J$277&gt;J$278,J$278,IF(J$277&lt;J$279,J$279,J$277)),IF(J$277&gt;J$280,J$280,IF(J$277&lt;J$281,J$281,J$277)))</f>
        <v>20.13</v>
      </c>
      <c r="K282" s="1268">
        <f t="shared" si="373"/>
        <v>20.13</v>
      </c>
      <c r="L282" s="1268">
        <f t="shared" si="373"/>
        <v>20.13</v>
      </c>
      <c r="M282" s="1268">
        <f t="shared" si="372"/>
        <v>20.13</v>
      </c>
      <c r="N282" s="1268">
        <f t="shared" si="372"/>
        <v>20.13</v>
      </c>
      <c r="O282" s="1268">
        <f t="shared" si="372"/>
        <v>10.01</v>
      </c>
      <c r="P282" s="1268">
        <f t="shared" si="372"/>
        <v>10.01</v>
      </c>
      <c r="Q282" s="1268">
        <f t="shared" si="372"/>
        <v>10.01</v>
      </c>
    </row>
    <row r="283" spans="1:17" s="896" customFormat="1" ht="15" hidden="1" customHeight="1" thickBot="1">
      <c r="G283" s="1264"/>
      <c r="H283" s="1264"/>
      <c r="I283" s="1264"/>
      <c r="J283" s="1264"/>
      <c r="K283" s="1264"/>
      <c r="L283" s="1264"/>
      <c r="M283" s="1264"/>
      <c r="N283" s="1264"/>
      <c r="O283" s="1264"/>
      <c r="P283" s="1264"/>
      <c r="Q283" s="1264"/>
    </row>
    <row r="284" spans="1:17" s="896" customFormat="1" ht="15" hidden="1" customHeight="1">
      <c r="A284" s="1247"/>
      <c r="B284" s="1248"/>
      <c r="C284" s="1249" t="s">
        <v>2704</v>
      </c>
      <c r="D284" s="1250"/>
      <c r="E284" s="1248"/>
      <c r="F284" s="1251" t="s">
        <v>2690</v>
      </c>
      <c r="G284" s="1252">
        <f t="shared" ref="G284:Q284" si="374">+G84</f>
        <v>16.600000000000001</v>
      </c>
      <c r="H284" s="1252">
        <f t="shared" si="374"/>
        <v>11</v>
      </c>
      <c r="I284" s="1252">
        <f t="shared" si="374"/>
        <v>16.600000000000001</v>
      </c>
      <c r="J284" s="1252">
        <f t="shared" ref="J284:L284" si="375">+J84</f>
        <v>16.600000000000001</v>
      </c>
      <c r="K284" s="1252">
        <f t="shared" si="375"/>
        <v>16.600000000000001</v>
      </c>
      <c r="L284" s="1252">
        <f t="shared" si="375"/>
        <v>16.600000000000001</v>
      </c>
      <c r="M284" s="1252">
        <f t="shared" si="374"/>
        <v>11</v>
      </c>
      <c r="N284" s="1252">
        <f t="shared" si="374"/>
        <v>16.600000000000001</v>
      </c>
      <c r="O284" s="1252">
        <f t="shared" si="374"/>
        <v>0</v>
      </c>
      <c r="P284" s="1252">
        <f t="shared" si="374"/>
        <v>0</v>
      </c>
      <c r="Q284" s="1253">
        <f t="shared" si="374"/>
        <v>0</v>
      </c>
    </row>
    <row r="285" spans="1:17" s="896" customFormat="1" ht="15" hidden="1" customHeight="1">
      <c r="A285" s="2651"/>
      <c r="B285" s="2654" t="s">
        <v>2700</v>
      </c>
      <c r="C285" s="1254" t="s">
        <v>2705</v>
      </c>
      <c r="D285" s="1063"/>
      <c r="E285" s="1255"/>
      <c r="F285" s="1256" t="s">
        <v>2706</v>
      </c>
      <c r="G285" s="1257">
        <f>IF($F180&lt;=5000000,ROUND(356.2*((5000)^-0.4085)*(G284^0.5766),2),ROUND(356.2*(($F180/1000)^-0.4085)*(G284^0.5766),2))</f>
        <v>55.49</v>
      </c>
      <c r="H285" s="1257">
        <f t="shared" ref="H285:Q285" si="376">IF($F180&lt;=5000000,ROUND(356.2*((5000)^-0.4085)*(H284^0.5766),2),ROUND(356.2*(($F180/1000)^-0.4085)*(H284^0.5766),2))</f>
        <v>43.77</v>
      </c>
      <c r="I285" s="1257">
        <f t="shared" si="376"/>
        <v>55.49</v>
      </c>
      <c r="J285" s="1257">
        <f t="shared" ref="J285:L285" si="377">IF($F180&lt;=5000000,ROUND(356.2*((5000)^-0.4085)*(J284^0.5766),2),ROUND(356.2*(($F180/1000)^-0.4085)*(J284^0.5766),2))</f>
        <v>55.49</v>
      </c>
      <c r="K285" s="1257">
        <f t="shared" si="377"/>
        <v>55.49</v>
      </c>
      <c r="L285" s="1257">
        <f t="shared" si="377"/>
        <v>55.49</v>
      </c>
      <c r="M285" s="1257">
        <f t="shared" si="376"/>
        <v>43.77</v>
      </c>
      <c r="N285" s="1257">
        <f t="shared" si="376"/>
        <v>55.49</v>
      </c>
      <c r="O285" s="1257">
        <f t="shared" si="376"/>
        <v>0</v>
      </c>
      <c r="P285" s="1257">
        <f t="shared" si="376"/>
        <v>0</v>
      </c>
      <c r="Q285" s="1257">
        <f t="shared" si="376"/>
        <v>0</v>
      </c>
    </row>
    <row r="286" spans="1:17" s="896" customFormat="1" ht="15" hidden="1" customHeight="1">
      <c r="A286" s="2652"/>
      <c r="B286" s="2655"/>
      <c r="C286" s="2657" t="s">
        <v>2710</v>
      </c>
      <c r="D286" s="1133"/>
      <c r="E286" s="1258"/>
      <c r="F286" s="1256" t="s">
        <v>2695</v>
      </c>
      <c r="G286" s="1259">
        <f>IF($F180&lt;=5000000,ROUND(26.86,2),0)</f>
        <v>26.86</v>
      </c>
      <c r="H286" s="1259">
        <f t="shared" ref="H286:Q286" si="378">IF($F180&lt;=5000000,ROUND(26.86,2),0)</f>
        <v>26.86</v>
      </c>
      <c r="I286" s="1259">
        <f t="shared" si="378"/>
        <v>26.86</v>
      </c>
      <c r="J286" s="1259">
        <f t="shared" ref="J286:L286" si="379">IF($F180&lt;=5000000,ROUND(26.86,2),0)</f>
        <v>26.86</v>
      </c>
      <c r="K286" s="1259">
        <f t="shared" si="379"/>
        <v>26.86</v>
      </c>
      <c r="L286" s="1259">
        <f t="shared" si="379"/>
        <v>26.86</v>
      </c>
      <c r="M286" s="1259">
        <f t="shared" si="378"/>
        <v>26.86</v>
      </c>
      <c r="N286" s="1259">
        <f t="shared" si="378"/>
        <v>26.86</v>
      </c>
      <c r="O286" s="1259">
        <f t="shared" si="378"/>
        <v>26.86</v>
      </c>
      <c r="P286" s="1259">
        <f t="shared" si="378"/>
        <v>26.86</v>
      </c>
      <c r="Q286" s="1259">
        <f t="shared" si="378"/>
        <v>26.86</v>
      </c>
    </row>
    <row r="287" spans="1:17" s="896" customFormat="1" ht="15" hidden="1" customHeight="1">
      <c r="A287" s="2652"/>
      <c r="B287" s="2655"/>
      <c r="C287" s="2658"/>
      <c r="D287" s="1260"/>
      <c r="E287" s="1261"/>
      <c r="F287" s="1256" t="s">
        <v>2696</v>
      </c>
      <c r="G287" s="1259">
        <f>IF($F180&lt;=5000000,ROUND(12.7,2),0)</f>
        <v>12.7</v>
      </c>
      <c r="H287" s="1259">
        <f t="shared" ref="H287:Q287" si="380">IF($F180&lt;=5000000,ROUND(12.7,2),0)</f>
        <v>12.7</v>
      </c>
      <c r="I287" s="1259">
        <f t="shared" si="380"/>
        <v>12.7</v>
      </c>
      <c r="J287" s="1259">
        <f t="shared" ref="J287:L287" si="381">IF($F180&lt;=5000000,ROUND(12.7,2),0)</f>
        <v>12.7</v>
      </c>
      <c r="K287" s="1259">
        <f t="shared" si="381"/>
        <v>12.7</v>
      </c>
      <c r="L287" s="1259">
        <f t="shared" si="381"/>
        <v>12.7</v>
      </c>
      <c r="M287" s="1259">
        <f t="shared" si="380"/>
        <v>12.7</v>
      </c>
      <c r="N287" s="1259">
        <f t="shared" si="380"/>
        <v>12.7</v>
      </c>
      <c r="O287" s="1259">
        <f t="shared" si="380"/>
        <v>12.7</v>
      </c>
      <c r="P287" s="1259">
        <f t="shared" si="380"/>
        <v>12.7</v>
      </c>
      <c r="Q287" s="1259">
        <f t="shared" si="380"/>
        <v>12.7</v>
      </c>
    </row>
    <row r="288" spans="1:17" s="896" customFormat="1" ht="15" hidden="1" customHeight="1">
      <c r="A288" s="2652"/>
      <c r="B288" s="2655"/>
      <c r="C288" s="2657" t="s">
        <v>2711</v>
      </c>
      <c r="D288" s="1133"/>
      <c r="E288" s="1258"/>
      <c r="F288" s="1256" t="s">
        <v>2695</v>
      </c>
      <c r="G288" s="1262">
        <f>IF($F180&gt;5000000,ROUND(184.58*($F180/1000)^-0.2263,2),0)</f>
        <v>0</v>
      </c>
      <c r="H288" s="1262">
        <f t="shared" ref="H288:Q288" si="382">IF($F180&gt;5000000,ROUND(184.58*($F180/1000)^-0.2263,2),0)</f>
        <v>0</v>
      </c>
      <c r="I288" s="1262">
        <f t="shared" si="382"/>
        <v>0</v>
      </c>
      <c r="J288" s="1262">
        <f t="shared" ref="J288:L288" si="383">IF($F180&gt;5000000,ROUND(184.58*($F180/1000)^-0.2263,2),0)</f>
        <v>0</v>
      </c>
      <c r="K288" s="1262">
        <f t="shared" si="383"/>
        <v>0</v>
      </c>
      <c r="L288" s="1262">
        <f t="shared" si="383"/>
        <v>0</v>
      </c>
      <c r="M288" s="1262">
        <f t="shared" si="382"/>
        <v>0</v>
      </c>
      <c r="N288" s="1262">
        <f t="shared" si="382"/>
        <v>0</v>
      </c>
      <c r="O288" s="1262">
        <f t="shared" si="382"/>
        <v>0</v>
      </c>
      <c r="P288" s="1262">
        <f t="shared" si="382"/>
        <v>0</v>
      </c>
      <c r="Q288" s="1262">
        <f t="shared" si="382"/>
        <v>0</v>
      </c>
    </row>
    <row r="289" spans="1:17" s="896" customFormat="1" ht="15" hidden="1" customHeight="1">
      <c r="A289" s="2653"/>
      <c r="B289" s="2656"/>
      <c r="C289" s="2658"/>
      <c r="D289" s="1260"/>
      <c r="E289" s="1261"/>
      <c r="F289" s="1256" t="s">
        <v>2696</v>
      </c>
      <c r="G289" s="1262">
        <f>IF($F180&gt;5000000,ROUND(87.29*($F180/1000)^-0.2263,2),0)</f>
        <v>0</v>
      </c>
      <c r="H289" s="1262">
        <f t="shared" ref="H289:Q289" si="384">IF($F180&gt;5000000,ROUND(87.29*($F180/1000)^-0.2263,2),0)</f>
        <v>0</v>
      </c>
      <c r="I289" s="1262">
        <f t="shared" si="384"/>
        <v>0</v>
      </c>
      <c r="J289" s="1262">
        <f t="shared" ref="J289:L289" si="385">IF($F180&gt;5000000,ROUND(87.29*($F180/1000)^-0.2263,2),0)</f>
        <v>0</v>
      </c>
      <c r="K289" s="1262">
        <f t="shared" si="385"/>
        <v>0</v>
      </c>
      <c r="L289" s="1262">
        <f t="shared" si="385"/>
        <v>0</v>
      </c>
      <c r="M289" s="1262">
        <f t="shared" si="384"/>
        <v>0</v>
      </c>
      <c r="N289" s="1262">
        <f t="shared" si="384"/>
        <v>0</v>
      </c>
      <c r="O289" s="1262">
        <f t="shared" si="384"/>
        <v>0</v>
      </c>
      <c r="P289" s="1262">
        <f t="shared" si="384"/>
        <v>0</v>
      </c>
      <c r="Q289" s="1262">
        <f t="shared" si="384"/>
        <v>0</v>
      </c>
    </row>
    <row r="290" spans="1:17" s="896" customFormat="1" ht="15" hidden="1" customHeight="1" thickBot="1">
      <c r="A290" s="2660" t="s">
        <v>2709</v>
      </c>
      <c r="B290" s="2661"/>
      <c r="C290" s="2661"/>
      <c r="D290" s="2661"/>
      <c r="E290" s="1269"/>
      <c r="F290" s="1267"/>
      <c r="G290" s="1270">
        <f>IF($F180&lt;=5000000,IF(G$285&gt;G$286,G$286,IF(G$285&lt;G$287,G$287,G$285)),IF(G$285&gt;G$288,G$288,IF(G$285&lt;G$289,G$289,G$285)))</f>
        <v>26.86</v>
      </c>
      <c r="H290" s="1270">
        <f t="shared" ref="H290:Q290" si="386">IF($F180&lt;=5000000,IF(H$285&gt;H$286,H$286,IF(H$285&lt;H$287,H$287,H$285)),IF(H$285&gt;H$288,H$288,IF(H$285&lt;H$289,H$289,H$285)))</f>
        <v>26.86</v>
      </c>
      <c r="I290" s="1270">
        <f t="shared" si="386"/>
        <v>26.86</v>
      </c>
      <c r="J290" s="1270">
        <f t="shared" ref="J290:L290" si="387">IF($F180&lt;=5000000,IF(J$285&gt;J$286,J$286,IF(J$285&lt;J$287,J$287,J$285)),IF(J$285&gt;J$288,J$288,IF(J$285&lt;J$289,J$289,J$285)))</f>
        <v>26.86</v>
      </c>
      <c r="K290" s="1270">
        <f t="shared" si="387"/>
        <v>26.86</v>
      </c>
      <c r="L290" s="1270">
        <f t="shared" si="387"/>
        <v>26.86</v>
      </c>
      <c r="M290" s="1270">
        <f t="shared" si="386"/>
        <v>26.86</v>
      </c>
      <c r="N290" s="1270">
        <f t="shared" si="386"/>
        <v>26.86</v>
      </c>
      <c r="O290" s="1270">
        <f t="shared" si="386"/>
        <v>12.7</v>
      </c>
      <c r="P290" s="1270">
        <f t="shared" si="386"/>
        <v>12.7</v>
      </c>
      <c r="Q290" s="1270">
        <f t="shared" si="386"/>
        <v>12.7</v>
      </c>
    </row>
    <row r="291" spans="1:17" s="896" customFormat="1" ht="15" hidden="1" customHeight="1" thickBot="1">
      <c r="G291" s="1246"/>
      <c r="H291" s="1246"/>
      <c r="I291" s="1246"/>
      <c r="J291" s="1246"/>
      <c r="K291" s="1246"/>
      <c r="L291" s="1246"/>
      <c r="M291" s="1246"/>
      <c r="N291" s="1246"/>
      <c r="O291" s="1246"/>
      <c r="P291" s="1246"/>
      <c r="Q291" s="1246"/>
    </row>
    <row r="292" spans="1:17" s="896" customFormat="1" ht="15" hidden="1" customHeight="1">
      <c r="A292" s="1247"/>
      <c r="B292" s="1248"/>
      <c r="C292" s="1249" t="s">
        <v>2712</v>
      </c>
      <c r="D292" s="1250"/>
      <c r="E292" s="1248"/>
      <c r="F292" s="1251"/>
      <c r="G292" s="1271"/>
      <c r="H292" s="1272"/>
      <c r="I292" s="1273"/>
      <c r="J292" s="1273"/>
      <c r="K292" s="1273"/>
      <c r="L292" s="1273"/>
      <c r="M292" s="1273"/>
      <c r="N292" s="1273"/>
      <c r="O292" s="1273"/>
      <c r="P292" s="1273"/>
      <c r="Q292" s="1273"/>
    </row>
    <row r="293" spans="1:17" s="896" customFormat="1" ht="14.25" hidden="1" customHeight="1">
      <c r="A293" s="2651"/>
      <c r="B293" s="2654" t="s">
        <v>79</v>
      </c>
      <c r="C293" s="1254" t="s">
        <v>2713</v>
      </c>
      <c r="D293" s="1063"/>
      <c r="E293" s="1255"/>
      <c r="F293" s="1256" t="s">
        <v>2714</v>
      </c>
      <c r="G293" s="1274">
        <f>ROUND(28.978-3.173*LOG($F224/1000),2)</f>
        <v>11.1</v>
      </c>
      <c r="H293" s="1275"/>
      <c r="I293" s="1276"/>
      <c r="J293" s="1276"/>
      <c r="K293" s="1276"/>
      <c r="L293" s="1276"/>
      <c r="M293" s="1276"/>
      <c r="N293" s="1276"/>
      <c r="O293" s="1276"/>
      <c r="P293" s="1276"/>
      <c r="Q293" s="1276"/>
    </row>
    <row r="294" spans="1:17" s="896" customFormat="1" ht="14.25" hidden="1" customHeight="1">
      <c r="A294" s="2652"/>
      <c r="B294" s="2655"/>
      <c r="C294" s="1277" t="s">
        <v>2715</v>
      </c>
      <c r="D294" s="1133"/>
      <c r="E294" s="1133"/>
      <c r="F294" s="1278"/>
      <c r="G294" s="1279">
        <f>IF($F224&lt;=5000000,17.24,0)</f>
        <v>0</v>
      </c>
      <c r="H294" s="1280"/>
      <c r="I294" s="1281"/>
      <c r="J294" s="147"/>
      <c r="K294" s="1281"/>
      <c r="L294" s="1281"/>
      <c r="M294" s="147"/>
      <c r="N294" s="1281"/>
      <c r="O294" s="1281"/>
      <c r="P294" s="1281"/>
      <c r="Q294" s="1281"/>
    </row>
    <row r="295" spans="1:17" s="896" customFormat="1" ht="15" hidden="1" customHeight="1">
      <c r="A295" s="2653"/>
      <c r="B295" s="2656"/>
      <c r="C295" s="1277" t="s">
        <v>2716</v>
      </c>
      <c r="D295" s="1133"/>
      <c r="E295" s="1063"/>
      <c r="F295" s="1278"/>
      <c r="G295" s="1279">
        <f>IF($F224&gt;3000000000,8.43,0)</f>
        <v>0</v>
      </c>
      <c r="H295" s="1282"/>
      <c r="I295" s="1283"/>
      <c r="J295" s="1283"/>
      <c r="K295" s="1283"/>
      <c r="L295" s="1283"/>
      <c r="M295" s="1283"/>
      <c r="N295" s="1283"/>
      <c r="O295" s="1283"/>
      <c r="P295" s="1283"/>
      <c r="Q295" s="1283"/>
    </row>
    <row r="296" spans="1:17" s="896" customFormat="1" ht="15" hidden="1" customHeight="1" thickBot="1">
      <c r="A296" s="2660" t="s">
        <v>2717</v>
      </c>
      <c r="B296" s="2661"/>
      <c r="C296" s="2661"/>
      <c r="D296" s="2661"/>
      <c r="E296" s="1269"/>
      <c r="F296" s="1267"/>
      <c r="G296" s="1284">
        <f>IF($F224&lt;=5000000,G294,IF($F224&gt;3000000000,G295,G293))</f>
        <v>11.1</v>
      </c>
      <c r="H296" s="1285"/>
      <c r="I296" s="1286"/>
      <c r="J296" s="1286"/>
      <c r="K296" s="1286"/>
      <c r="L296" s="1286"/>
      <c r="M296" s="1286"/>
      <c r="N296" s="1286"/>
      <c r="O296" s="1286"/>
      <c r="P296" s="1286"/>
      <c r="Q296" s="1286"/>
    </row>
    <row r="297" spans="1:17" ht="15" customHeight="1"/>
    <row r="298" spans="1:17" s="885" customFormat="1" ht="15" customHeight="1">
      <c r="A298" s="1032"/>
      <c r="B298" s="1032"/>
      <c r="C298" s="1033"/>
      <c r="D298" s="1034"/>
      <c r="E298" s="1035" t="s">
        <v>2513</v>
      </c>
      <c r="F298" s="1036" t="str">
        <f>+F82</f>
        <v>東梅田外１駅可動式ホーム柵設置に伴う建築その他工事</v>
      </c>
      <c r="G298" s="1037"/>
      <c r="H298" s="1038"/>
      <c r="I298" s="1039"/>
      <c r="J298" s="844"/>
      <c r="K298" s="844"/>
      <c r="L298" s="844"/>
      <c r="M298" s="844"/>
      <c r="N298" s="844"/>
      <c r="O298" s="844"/>
      <c r="P298" s="844"/>
      <c r="Q298" s="845" t="s">
        <v>2718</v>
      </c>
    </row>
    <row r="299" spans="1:17" s="896" customFormat="1" ht="15" customHeight="1">
      <c r="A299" s="1040"/>
      <c r="B299" s="1040"/>
      <c r="C299" s="1041" t="s">
        <v>2719</v>
      </c>
      <c r="D299" s="808"/>
      <c r="E299" s="1042"/>
      <c r="F299" s="1043" t="s">
        <v>2598</v>
      </c>
      <c r="G299" s="1044" t="s">
        <v>2720</v>
      </c>
      <c r="H299" s="1045"/>
      <c r="J299" s="1046"/>
      <c r="K299" s="1046"/>
      <c r="L299" s="1046"/>
      <c r="M299" s="1046"/>
      <c r="N299" s="1046"/>
      <c r="O299" s="1046"/>
      <c r="P299" s="1043"/>
      <c r="Q299" s="1047"/>
    </row>
    <row r="300" spans="1:17" s="885" customFormat="1" ht="15" customHeight="1">
      <c r="A300" s="877"/>
      <c r="B300" s="878"/>
      <c r="C300" s="879" t="s">
        <v>2522</v>
      </c>
      <c r="D300" s="880"/>
      <c r="E300" s="881"/>
      <c r="F300" s="882" t="s">
        <v>2600</v>
      </c>
      <c r="G300" s="883">
        <f t="shared" ref="G300:Q300" si="388">+G8</f>
        <v>16.600000000000001</v>
      </c>
      <c r="H300" s="883">
        <f t="shared" si="388"/>
        <v>11</v>
      </c>
      <c r="I300" s="883">
        <f t="shared" si="388"/>
        <v>16.600000000000001</v>
      </c>
      <c r="J300" s="883">
        <f t="shared" ref="J300:L300" si="389">+J8</f>
        <v>16.600000000000001</v>
      </c>
      <c r="K300" s="883">
        <f t="shared" si="389"/>
        <v>16.600000000000001</v>
      </c>
      <c r="L300" s="883">
        <f t="shared" si="389"/>
        <v>16.600000000000001</v>
      </c>
      <c r="M300" s="883">
        <f t="shared" si="388"/>
        <v>11</v>
      </c>
      <c r="N300" s="883">
        <f t="shared" si="388"/>
        <v>16.600000000000001</v>
      </c>
      <c r="O300" s="883">
        <f t="shared" si="388"/>
        <v>0</v>
      </c>
      <c r="P300" s="883">
        <f t="shared" si="388"/>
        <v>0</v>
      </c>
      <c r="Q300" s="884">
        <f t="shared" si="388"/>
        <v>0</v>
      </c>
    </row>
    <row r="301" spans="1:17" s="885" customFormat="1" ht="15" customHeight="1">
      <c r="A301" s="886"/>
      <c r="B301" s="887"/>
      <c r="C301" s="888" t="s">
        <v>2524</v>
      </c>
      <c r="D301" s="889"/>
      <c r="E301" s="890"/>
      <c r="F301" s="891" t="s">
        <v>2601</v>
      </c>
      <c r="G301" s="1289" t="str">
        <f t="shared" ref="G301:Q301" si="390">G85</f>
        <v>改修</v>
      </c>
      <c r="H301" s="1289" t="str">
        <f t="shared" si="390"/>
        <v>改修</v>
      </c>
      <c r="I301" s="1289" t="str">
        <f t="shared" si="390"/>
        <v>改修</v>
      </c>
      <c r="J301" s="1289" t="str">
        <f t="shared" ref="J301:L301" si="391">J85</f>
        <v>改修</v>
      </c>
      <c r="K301" s="1289" t="str">
        <f t="shared" si="391"/>
        <v>改修</v>
      </c>
      <c r="L301" s="1289" t="str">
        <f t="shared" si="391"/>
        <v>改修</v>
      </c>
      <c r="M301" s="1289" t="str">
        <f t="shared" si="390"/>
        <v>改修</v>
      </c>
      <c r="N301" s="1289" t="str">
        <f t="shared" si="390"/>
        <v>改修</v>
      </c>
      <c r="O301" s="1289">
        <f t="shared" si="390"/>
        <v>0</v>
      </c>
      <c r="P301" s="1289">
        <f t="shared" si="390"/>
        <v>0</v>
      </c>
      <c r="Q301" s="1289">
        <f t="shared" si="390"/>
        <v>0</v>
      </c>
    </row>
    <row r="302" spans="1:17" s="896" customFormat="1" ht="15" customHeight="1">
      <c r="A302" s="886"/>
      <c r="B302" s="887"/>
      <c r="C302" s="887" t="s">
        <v>2602</v>
      </c>
      <c r="D302" s="887"/>
      <c r="E302" s="1190" t="str">
        <f>+E86</f>
        <v>無し</v>
      </c>
      <c r="F302" s="1053" t="s">
        <v>2517</v>
      </c>
      <c r="G302" s="1290" t="str">
        <f t="shared" ref="G302:Q302" si="392">+G3</f>
        <v>可動式ホーム柵設置に伴う建築工事</v>
      </c>
      <c r="H302" s="1290" t="str">
        <f t="shared" si="392"/>
        <v>隙間解消工事</v>
      </c>
      <c r="I302" s="1290" t="str">
        <f t="shared" si="392"/>
        <v>列車停止位置変更に伴う建築工事</v>
      </c>
      <c r="J302" s="1290" t="str">
        <f t="shared" ref="J302:L302" si="393">+J3</f>
        <v>床仕上改造その他工事</v>
      </c>
      <c r="K302" s="1290" t="str">
        <f t="shared" si="393"/>
        <v>整列乗車対策工事</v>
      </c>
      <c r="L302" s="1290" t="str">
        <f t="shared" si="393"/>
        <v>可動式ホーム柵設置に伴う建築工事</v>
      </c>
      <c r="M302" s="1290" t="str">
        <f t="shared" si="392"/>
        <v>隙間解消工事</v>
      </c>
      <c r="N302" s="1290" t="str">
        <f t="shared" si="392"/>
        <v>床仕上改造その他工事</v>
      </c>
      <c r="O302" s="1290">
        <f t="shared" si="392"/>
        <v>0</v>
      </c>
      <c r="P302" s="1290">
        <f t="shared" si="392"/>
        <v>0</v>
      </c>
      <c r="Q302" s="1291">
        <f t="shared" si="392"/>
        <v>0</v>
      </c>
    </row>
    <row r="303" spans="1:17" s="896" customFormat="1" ht="15" customHeight="1">
      <c r="A303" s="886"/>
      <c r="B303" s="887"/>
      <c r="C303" s="887" t="s">
        <v>2604</v>
      </c>
      <c r="D303" s="887"/>
      <c r="E303" s="1190" t="str">
        <f>+E87</f>
        <v>有り</v>
      </c>
      <c r="F303" s="1056" t="s">
        <v>2605</v>
      </c>
      <c r="G303" s="1057"/>
      <c r="H303" s="1292"/>
      <c r="I303" s="1292"/>
      <c r="J303" s="1292"/>
      <c r="K303" s="1292"/>
      <c r="L303" s="1292"/>
      <c r="M303" s="1292"/>
      <c r="N303" s="1292"/>
      <c r="O303" s="1292"/>
      <c r="P303" s="1292"/>
      <c r="Q303" s="1293"/>
    </row>
    <row r="304" spans="1:17" s="896" customFormat="1" ht="15" customHeight="1">
      <c r="A304" s="2662" t="s">
        <v>2525</v>
      </c>
      <c r="B304" s="2663"/>
      <c r="C304" s="2663"/>
      <c r="D304" s="2663"/>
      <c r="E304" s="2663"/>
      <c r="F304" s="2664"/>
      <c r="G304" s="894" t="str">
        <f t="shared" ref="G304:Q304" si="394">+G10</f>
        <v>積上げ・率処理併用</v>
      </c>
      <c r="H304" s="894" t="str">
        <f t="shared" si="394"/>
        <v>積上げ・率処理併用</v>
      </c>
      <c r="I304" s="894" t="str">
        <f t="shared" si="394"/>
        <v>積上げ・率処理併用</v>
      </c>
      <c r="J304" s="894" t="str">
        <f t="shared" ref="J304:L304" si="395">+J10</f>
        <v>積上げ・率処理併用</v>
      </c>
      <c r="K304" s="894" t="str">
        <f t="shared" si="395"/>
        <v>積上げ・率処理併用</v>
      </c>
      <c r="L304" s="894" t="str">
        <f t="shared" si="395"/>
        <v>積上げ・率処理併用</v>
      </c>
      <c r="M304" s="894" t="str">
        <f t="shared" si="394"/>
        <v>積上げ・率処理併用</v>
      </c>
      <c r="N304" s="894" t="str">
        <f t="shared" si="394"/>
        <v>積上げ・率処理併用</v>
      </c>
      <c r="O304" s="894" t="str">
        <f t="shared" si="394"/>
        <v>積上げ・率処理併用</v>
      </c>
      <c r="P304" s="894" t="str">
        <f t="shared" si="394"/>
        <v>積上げ・率処理併用</v>
      </c>
      <c r="Q304" s="895" t="str">
        <f t="shared" si="394"/>
        <v>積上げ・率処理併用</v>
      </c>
    </row>
    <row r="305" spans="1:17" s="896" customFormat="1" ht="30" customHeight="1">
      <c r="A305" s="2665" t="s">
        <v>2526</v>
      </c>
      <c r="B305" s="2666"/>
      <c r="C305" s="2666"/>
      <c r="D305" s="2666"/>
      <c r="E305" s="2666"/>
      <c r="F305" s="2667"/>
      <c r="G305" s="1296" t="str">
        <f>G11</f>
        <v>駅施設</v>
      </c>
      <c r="H305" s="1296" t="str">
        <f t="shared" ref="H305:Q306" si="396">H11</f>
        <v>駅施設</v>
      </c>
      <c r="I305" s="1296" t="str">
        <f t="shared" si="396"/>
        <v>駅施設</v>
      </c>
      <c r="J305" s="1296" t="str">
        <f t="shared" ref="J305:L305" si="397">J11</f>
        <v>駅施設</v>
      </c>
      <c r="K305" s="1296" t="str">
        <f t="shared" si="397"/>
        <v>駅施設</v>
      </c>
      <c r="L305" s="1296" t="str">
        <f t="shared" si="397"/>
        <v>駅施設</v>
      </c>
      <c r="M305" s="1296" t="str">
        <f t="shared" si="396"/>
        <v>駅施設</v>
      </c>
      <c r="N305" s="1296" t="str">
        <f t="shared" si="396"/>
        <v>駅施設</v>
      </c>
      <c r="O305" s="1296" t="str">
        <f t="shared" si="396"/>
        <v>駅施設</v>
      </c>
      <c r="P305" s="1296" t="str">
        <f t="shared" si="396"/>
        <v>駅施設</v>
      </c>
      <c r="Q305" s="1297" t="str">
        <f t="shared" si="396"/>
        <v>駅施設</v>
      </c>
    </row>
    <row r="306" spans="1:17" s="896" customFormat="1" ht="30" customHeight="1">
      <c r="A306" s="2596" t="s">
        <v>2527</v>
      </c>
      <c r="B306" s="2597"/>
      <c r="C306" s="2597"/>
      <c r="D306" s="2597"/>
      <c r="E306" s="2597"/>
      <c r="F306" s="2598"/>
      <c r="G306" s="1298" t="str">
        <f>G12</f>
        <v>無し</v>
      </c>
      <c r="H306" s="1298" t="str">
        <f t="shared" si="396"/>
        <v>無し</v>
      </c>
      <c r="I306" s="1298" t="str">
        <f t="shared" si="396"/>
        <v>無し</v>
      </c>
      <c r="J306" s="1298" t="str">
        <f t="shared" ref="J306:L306" si="398">J12</f>
        <v>無し</v>
      </c>
      <c r="K306" s="1298" t="str">
        <f t="shared" si="398"/>
        <v>無し</v>
      </c>
      <c r="L306" s="1298" t="str">
        <f t="shared" si="398"/>
        <v>無し</v>
      </c>
      <c r="M306" s="1298" t="str">
        <f t="shared" si="396"/>
        <v>無し</v>
      </c>
      <c r="N306" s="1298" t="str">
        <f t="shared" si="396"/>
        <v>無し</v>
      </c>
      <c r="O306" s="1298" t="str">
        <f t="shared" si="396"/>
        <v>無し</v>
      </c>
      <c r="P306" s="1298" t="str">
        <f t="shared" si="396"/>
        <v>無し</v>
      </c>
      <c r="Q306" s="1299" t="str">
        <f t="shared" si="396"/>
        <v>無し</v>
      </c>
    </row>
    <row r="307" spans="1:17" s="896" customFormat="1" ht="15" customHeight="1">
      <c r="A307" s="877"/>
      <c r="B307" s="901" t="s">
        <v>2609</v>
      </c>
      <c r="C307" s="902"/>
      <c r="D307" s="902"/>
      <c r="E307" s="903"/>
      <c r="F307" s="904">
        <f>SUM(G307:Q307)</f>
        <v>395686162</v>
      </c>
      <c r="G307" s="905">
        <f>+G308+G312</f>
        <v>37409885</v>
      </c>
      <c r="H307" s="905">
        <f t="shared" ref="H307:Q307" si="399">+H308+H312</f>
        <v>22318883</v>
      </c>
      <c r="I307" s="905">
        <f t="shared" si="399"/>
        <v>2131661</v>
      </c>
      <c r="J307" s="905">
        <f t="shared" ref="J307:L307" si="400">+J308+J312</f>
        <v>107929486</v>
      </c>
      <c r="K307" s="905">
        <f t="shared" si="400"/>
        <v>10208163</v>
      </c>
      <c r="L307" s="905">
        <f t="shared" si="400"/>
        <v>47706961</v>
      </c>
      <c r="M307" s="905">
        <f t="shared" si="399"/>
        <v>28913934</v>
      </c>
      <c r="N307" s="905">
        <f t="shared" si="399"/>
        <v>139067189</v>
      </c>
      <c r="O307" s="905">
        <f t="shared" si="399"/>
        <v>0</v>
      </c>
      <c r="P307" s="905">
        <f t="shared" si="399"/>
        <v>0</v>
      </c>
      <c r="Q307" s="906">
        <f t="shared" si="399"/>
        <v>0</v>
      </c>
    </row>
    <row r="308" spans="1:17" s="896" customFormat="1" ht="15" customHeight="1">
      <c r="A308" s="886"/>
      <c r="B308" s="887"/>
      <c r="C308" s="694" t="s">
        <v>2529</v>
      </c>
      <c r="D308" s="695"/>
      <c r="E308" s="881"/>
      <c r="F308" s="907">
        <f>SUM(G308:Q308)</f>
        <v>370554083</v>
      </c>
      <c r="G308" s="1300">
        <f t="shared" ref="G308:Q308" si="401">+G92+G14</f>
        <v>33199287</v>
      </c>
      <c r="H308" s="1300">
        <f t="shared" si="401"/>
        <v>21555646</v>
      </c>
      <c r="I308" s="1300">
        <f t="shared" si="401"/>
        <v>2052481</v>
      </c>
      <c r="J308" s="1300">
        <f t="shared" ref="J308:L308" si="402">+J92+J14</f>
        <v>103212496</v>
      </c>
      <c r="K308" s="1300">
        <f t="shared" si="402"/>
        <v>9791560</v>
      </c>
      <c r="L308" s="1300">
        <f t="shared" si="402"/>
        <v>42674280</v>
      </c>
      <c r="M308" s="1300">
        <f t="shared" si="401"/>
        <v>27426558</v>
      </c>
      <c r="N308" s="1300">
        <f t="shared" si="401"/>
        <v>130641775</v>
      </c>
      <c r="O308" s="1300">
        <f t="shared" si="401"/>
        <v>0</v>
      </c>
      <c r="P308" s="1300">
        <f t="shared" si="401"/>
        <v>0</v>
      </c>
      <c r="Q308" s="1301">
        <f t="shared" si="401"/>
        <v>0</v>
      </c>
    </row>
    <row r="309" spans="1:17" s="896" customFormat="1" ht="15" customHeight="1">
      <c r="A309" s="886"/>
      <c r="B309" s="887"/>
      <c r="C309" s="1063"/>
      <c r="D309" s="1063"/>
      <c r="E309" s="910"/>
      <c r="F309" s="911" t="s">
        <v>2610</v>
      </c>
      <c r="G309" s="912">
        <f t="shared" ref="G309:Q309" si="403">SUM(G401:G410)</f>
        <v>37409885</v>
      </c>
      <c r="H309" s="912">
        <f t="shared" si="403"/>
        <v>22318883</v>
      </c>
      <c r="I309" s="912">
        <f t="shared" si="403"/>
        <v>2131661</v>
      </c>
      <c r="J309" s="912">
        <f t="shared" ref="J309:L309" si="404">SUM(J401:J410)</f>
        <v>107929486</v>
      </c>
      <c r="K309" s="912">
        <f t="shared" si="404"/>
        <v>10208163</v>
      </c>
      <c r="L309" s="912">
        <f t="shared" si="404"/>
        <v>47706961</v>
      </c>
      <c r="M309" s="912">
        <f t="shared" si="403"/>
        <v>28913934</v>
      </c>
      <c r="N309" s="912">
        <f t="shared" si="403"/>
        <v>139067189</v>
      </c>
      <c r="O309" s="912">
        <f t="shared" si="403"/>
        <v>0</v>
      </c>
      <c r="P309" s="912">
        <f t="shared" si="403"/>
        <v>0</v>
      </c>
      <c r="Q309" s="913">
        <f t="shared" si="403"/>
        <v>0</v>
      </c>
    </row>
    <row r="310" spans="1:17" s="896" customFormat="1" ht="15" customHeight="1">
      <c r="A310" s="886"/>
      <c r="B310" s="887"/>
      <c r="C310" s="1063"/>
      <c r="D310" s="1063"/>
      <c r="E310" s="910"/>
      <c r="F310" s="911" t="s">
        <v>2611</v>
      </c>
      <c r="G310" s="912">
        <f t="shared" ref="G310:Q310" si="405">SUM(G447:G449)</f>
        <v>0</v>
      </c>
      <c r="H310" s="912">
        <f t="shared" si="405"/>
        <v>0</v>
      </c>
      <c r="I310" s="912">
        <f t="shared" si="405"/>
        <v>0</v>
      </c>
      <c r="J310" s="912">
        <f t="shared" ref="J310:L310" si="406">SUM(J447:J449)</f>
        <v>0</v>
      </c>
      <c r="K310" s="912">
        <f t="shared" si="406"/>
        <v>0</v>
      </c>
      <c r="L310" s="912">
        <f t="shared" si="406"/>
        <v>0</v>
      </c>
      <c r="M310" s="912">
        <f t="shared" si="405"/>
        <v>0</v>
      </c>
      <c r="N310" s="912">
        <f t="shared" si="405"/>
        <v>0</v>
      </c>
      <c r="O310" s="912">
        <f t="shared" si="405"/>
        <v>0</v>
      </c>
      <c r="P310" s="912">
        <f t="shared" si="405"/>
        <v>0</v>
      </c>
      <c r="Q310" s="913">
        <f t="shared" si="405"/>
        <v>0</v>
      </c>
    </row>
    <row r="311" spans="1:17" s="896" customFormat="1" ht="15" customHeight="1">
      <c r="A311" s="886"/>
      <c r="B311" s="887"/>
      <c r="C311" s="1063"/>
      <c r="D311" s="1063"/>
      <c r="E311" s="910"/>
      <c r="F311" s="1064" t="s">
        <v>2612</v>
      </c>
      <c r="G311" s="912">
        <f t="shared" ref="G311:Q311" si="407">+G350</f>
        <v>33199287</v>
      </c>
      <c r="H311" s="912">
        <f t="shared" si="407"/>
        <v>21555646</v>
      </c>
      <c r="I311" s="912">
        <f t="shared" si="407"/>
        <v>2052481</v>
      </c>
      <c r="J311" s="912">
        <f t="shared" ref="J311:L311" si="408">+J350</f>
        <v>103212496</v>
      </c>
      <c r="K311" s="912">
        <f t="shared" si="408"/>
        <v>9791560</v>
      </c>
      <c r="L311" s="912">
        <f t="shared" si="408"/>
        <v>42674280</v>
      </c>
      <c r="M311" s="912">
        <f t="shared" si="407"/>
        <v>27426558</v>
      </c>
      <c r="N311" s="912">
        <f t="shared" si="407"/>
        <v>130641775</v>
      </c>
      <c r="O311" s="912">
        <f t="shared" si="407"/>
        <v>0</v>
      </c>
      <c r="P311" s="912">
        <f t="shared" si="407"/>
        <v>0</v>
      </c>
      <c r="Q311" s="913">
        <f t="shared" si="407"/>
        <v>0</v>
      </c>
    </row>
    <row r="312" spans="1:17" s="896" customFormat="1" ht="15" customHeight="1">
      <c r="A312" s="886"/>
      <c r="B312" s="887"/>
      <c r="C312" s="701" t="s">
        <v>2530</v>
      </c>
      <c r="D312" s="701"/>
      <c r="E312" s="910"/>
      <c r="F312" s="911">
        <f t="shared" ref="F312:F329" si="409">SUM(G312:Q312)</f>
        <v>25132079</v>
      </c>
      <c r="G312" s="912">
        <f t="shared" ref="G312:Q312" si="410">G313+G314</f>
        <v>4210598</v>
      </c>
      <c r="H312" s="912">
        <f t="shared" si="410"/>
        <v>763237</v>
      </c>
      <c r="I312" s="912">
        <f t="shared" si="410"/>
        <v>79180</v>
      </c>
      <c r="J312" s="912">
        <f t="shared" ref="J312:L312" si="411">J313+J314</f>
        <v>4716990</v>
      </c>
      <c r="K312" s="912">
        <f t="shared" si="411"/>
        <v>416603</v>
      </c>
      <c r="L312" s="912">
        <f t="shared" si="411"/>
        <v>5032681</v>
      </c>
      <c r="M312" s="912">
        <f t="shared" si="410"/>
        <v>1487376</v>
      </c>
      <c r="N312" s="912">
        <f t="shared" si="410"/>
        <v>8425414</v>
      </c>
      <c r="O312" s="912">
        <f t="shared" si="410"/>
        <v>0</v>
      </c>
      <c r="P312" s="912">
        <f t="shared" si="410"/>
        <v>0</v>
      </c>
      <c r="Q312" s="913">
        <f t="shared" si="410"/>
        <v>0</v>
      </c>
    </row>
    <row r="313" spans="1:17" s="896" customFormat="1" ht="15" customHeight="1">
      <c r="A313" s="886"/>
      <c r="B313" s="887"/>
      <c r="C313" s="914" t="s">
        <v>2531</v>
      </c>
      <c r="D313" s="701"/>
      <c r="E313" s="910"/>
      <c r="F313" s="911">
        <f t="shared" si="409"/>
        <v>0</v>
      </c>
      <c r="G313" s="912">
        <f>IF(G304="積上げ",0,G390)</f>
        <v>0</v>
      </c>
      <c r="H313" s="912">
        <f t="shared" ref="H313:Q313" si="412">IF(H304="積上げ",0,H390)</f>
        <v>0</v>
      </c>
      <c r="I313" s="912">
        <f t="shared" si="412"/>
        <v>0</v>
      </c>
      <c r="J313" s="912">
        <f t="shared" ref="J313:L313" si="413">IF(J304="積上げ",0,J390)</f>
        <v>0</v>
      </c>
      <c r="K313" s="912">
        <f t="shared" si="413"/>
        <v>0</v>
      </c>
      <c r="L313" s="912">
        <f t="shared" si="413"/>
        <v>0</v>
      </c>
      <c r="M313" s="912">
        <f t="shared" si="412"/>
        <v>0</v>
      </c>
      <c r="N313" s="912">
        <f t="shared" si="412"/>
        <v>0</v>
      </c>
      <c r="O313" s="912">
        <f t="shared" si="412"/>
        <v>0</v>
      </c>
      <c r="P313" s="912">
        <f t="shared" si="412"/>
        <v>0</v>
      </c>
      <c r="Q313" s="913">
        <f t="shared" si="412"/>
        <v>0</v>
      </c>
    </row>
    <row r="314" spans="1:17" s="896" customFormat="1" ht="15" customHeight="1">
      <c r="A314" s="886"/>
      <c r="B314" s="887"/>
      <c r="C314" s="914" t="s">
        <v>2537</v>
      </c>
      <c r="D314" s="701"/>
      <c r="E314" s="910"/>
      <c r="F314" s="911">
        <f t="shared" si="409"/>
        <v>25132079</v>
      </c>
      <c r="G314" s="1302">
        <f t="shared" ref="G314:Q316" si="414">+G98+G22</f>
        <v>4210598</v>
      </c>
      <c r="H314" s="1302">
        <f t="shared" si="414"/>
        <v>763237</v>
      </c>
      <c r="I314" s="1302">
        <f t="shared" si="414"/>
        <v>79180</v>
      </c>
      <c r="J314" s="1302">
        <f t="shared" ref="J314:L314" si="415">+J98+J22</f>
        <v>4716990</v>
      </c>
      <c r="K314" s="1302">
        <f t="shared" si="415"/>
        <v>416603</v>
      </c>
      <c r="L314" s="1302">
        <f t="shared" si="415"/>
        <v>5032681</v>
      </c>
      <c r="M314" s="1302">
        <f t="shared" si="414"/>
        <v>1487376</v>
      </c>
      <c r="N314" s="1302">
        <f t="shared" si="414"/>
        <v>8425414</v>
      </c>
      <c r="O314" s="1302">
        <f t="shared" si="414"/>
        <v>0</v>
      </c>
      <c r="P314" s="1302">
        <f t="shared" si="414"/>
        <v>0</v>
      </c>
      <c r="Q314" s="1303">
        <f t="shared" si="414"/>
        <v>0</v>
      </c>
    </row>
    <row r="315" spans="1:17" s="896" customFormat="1" ht="15" customHeight="1">
      <c r="A315" s="886"/>
      <c r="B315" s="887"/>
      <c r="C315" s="922" t="s">
        <v>2721</v>
      </c>
      <c r="D315" s="701"/>
      <c r="E315" s="910"/>
      <c r="F315" s="911">
        <f t="shared" si="409"/>
        <v>0</v>
      </c>
      <c r="G315" s="912">
        <f t="shared" si="414"/>
        <v>0</v>
      </c>
      <c r="H315" s="912">
        <f t="shared" si="414"/>
        <v>0</v>
      </c>
      <c r="I315" s="912">
        <f t="shared" si="414"/>
        <v>0</v>
      </c>
      <c r="J315" s="912">
        <f t="shared" ref="J315:L315" si="416">+J99+J23</f>
        <v>0</v>
      </c>
      <c r="K315" s="912">
        <f t="shared" si="416"/>
        <v>0</v>
      </c>
      <c r="L315" s="912">
        <f t="shared" si="416"/>
        <v>0</v>
      </c>
      <c r="M315" s="912">
        <f t="shared" si="414"/>
        <v>0</v>
      </c>
      <c r="N315" s="912">
        <f t="shared" si="414"/>
        <v>0</v>
      </c>
      <c r="O315" s="912">
        <f t="shared" si="414"/>
        <v>0</v>
      </c>
      <c r="P315" s="912">
        <f t="shared" si="414"/>
        <v>0</v>
      </c>
      <c r="Q315" s="913">
        <f t="shared" si="414"/>
        <v>0</v>
      </c>
    </row>
    <row r="316" spans="1:17" s="896" customFormat="1" ht="15" customHeight="1">
      <c r="A316" s="886"/>
      <c r="B316" s="887"/>
      <c r="C316" s="923" t="s">
        <v>2539</v>
      </c>
      <c r="D316" s="924"/>
      <c r="E316" s="925"/>
      <c r="F316" s="926">
        <f t="shared" si="409"/>
        <v>0</v>
      </c>
      <c r="G316" s="912">
        <f t="shared" si="414"/>
        <v>0</v>
      </c>
      <c r="H316" s="912">
        <f t="shared" si="414"/>
        <v>0</v>
      </c>
      <c r="I316" s="912">
        <f t="shared" si="414"/>
        <v>0</v>
      </c>
      <c r="J316" s="912">
        <f t="shared" ref="J316:L316" si="417">+J100+J24</f>
        <v>0</v>
      </c>
      <c r="K316" s="912">
        <f t="shared" si="417"/>
        <v>0</v>
      </c>
      <c r="L316" s="912">
        <f t="shared" si="417"/>
        <v>0</v>
      </c>
      <c r="M316" s="912">
        <f t="shared" si="414"/>
        <v>0</v>
      </c>
      <c r="N316" s="912">
        <f t="shared" si="414"/>
        <v>0</v>
      </c>
      <c r="O316" s="912">
        <f t="shared" si="414"/>
        <v>0</v>
      </c>
      <c r="P316" s="912">
        <f t="shared" si="414"/>
        <v>0</v>
      </c>
      <c r="Q316" s="913">
        <f t="shared" si="414"/>
        <v>0</v>
      </c>
    </row>
    <row r="317" spans="1:17" s="896" customFormat="1" ht="15" customHeight="1">
      <c r="A317" s="1069"/>
      <c r="B317" s="1070"/>
      <c r="C317" s="1071" t="s">
        <v>2613</v>
      </c>
      <c r="D317" s="1072"/>
      <c r="E317" s="945"/>
      <c r="F317" s="946">
        <f t="shared" si="409"/>
        <v>25132079</v>
      </c>
      <c r="G317" s="1073">
        <f t="shared" ref="G317:Q317" si="418">+G351</f>
        <v>4210598</v>
      </c>
      <c r="H317" s="1073">
        <f t="shared" si="418"/>
        <v>763237</v>
      </c>
      <c r="I317" s="1073">
        <f t="shared" si="418"/>
        <v>79180</v>
      </c>
      <c r="J317" s="1073">
        <f t="shared" ref="J317:L317" si="419">+J351</f>
        <v>4716990</v>
      </c>
      <c r="K317" s="1073">
        <f t="shared" si="419"/>
        <v>416603</v>
      </c>
      <c r="L317" s="1073">
        <f t="shared" si="419"/>
        <v>5032681</v>
      </c>
      <c r="M317" s="1073">
        <f t="shared" si="418"/>
        <v>1487376</v>
      </c>
      <c r="N317" s="1073">
        <f t="shared" si="418"/>
        <v>8425414</v>
      </c>
      <c r="O317" s="1073">
        <f t="shared" si="418"/>
        <v>0</v>
      </c>
      <c r="P317" s="1073">
        <f t="shared" si="418"/>
        <v>0</v>
      </c>
      <c r="Q317" s="1074">
        <f t="shared" si="418"/>
        <v>0</v>
      </c>
    </row>
    <row r="318" spans="1:17" s="896" customFormat="1" ht="15" customHeight="1">
      <c r="A318" s="886"/>
      <c r="B318" s="924" t="s">
        <v>2614</v>
      </c>
      <c r="C318" s="924"/>
      <c r="D318" s="924"/>
      <c r="E318" s="925"/>
      <c r="F318" s="926">
        <f t="shared" si="409"/>
        <v>95313838</v>
      </c>
      <c r="G318" s="1075">
        <f t="shared" ref="G318:Q318" si="420">G319+G324</f>
        <v>8858115</v>
      </c>
      <c r="H318" s="1075">
        <f t="shared" si="420"/>
        <v>5148117</v>
      </c>
      <c r="I318" s="1075">
        <f t="shared" si="420"/>
        <v>495339</v>
      </c>
      <c r="J318" s="1075">
        <f t="shared" ref="J318:L318" si="421">J319+J324</f>
        <v>26875514</v>
      </c>
      <c r="K318" s="1075">
        <f t="shared" si="421"/>
        <v>2512837</v>
      </c>
      <c r="L318" s="1075">
        <f t="shared" si="421"/>
        <v>11215039</v>
      </c>
      <c r="M318" s="1075">
        <f t="shared" si="420"/>
        <v>6425066</v>
      </c>
      <c r="N318" s="1075">
        <f t="shared" si="420"/>
        <v>33783811</v>
      </c>
      <c r="O318" s="1075">
        <f t="shared" si="420"/>
        <v>0</v>
      </c>
      <c r="P318" s="1075">
        <f t="shared" si="420"/>
        <v>0</v>
      </c>
      <c r="Q318" s="1076">
        <f t="shared" si="420"/>
        <v>0</v>
      </c>
    </row>
    <row r="319" spans="1:17" s="896" customFormat="1" ht="15" customHeight="1">
      <c r="A319" s="886"/>
      <c r="B319" s="887"/>
      <c r="C319" s="694" t="s">
        <v>2615</v>
      </c>
      <c r="D319" s="694"/>
      <c r="E319" s="882"/>
      <c r="F319" s="907">
        <f t="shared" si="409"/>
        <v>44071565</v>
      </c>
      <c r="G319" s="1077">
        <f t="shared" ref="G319:Q319" si="422">G320+G323</f>
        <v>4030064</v>
      </c>
      <c r="H319" s="1077">
        <f t="shared" si="422"/>
        <v>2282113</v>
      </c>
      <c r="I319" s="1077">
        <f t="shared" si="422"/>
        <v>221648</v>
      </c>
      <c r="J319" s="1077">
        <f t="shared" ref="J319:L319" si="423">J320+J323</f>
        <v>12806355</v>
      </c>
      <c r="K319" s="1077">
        <f t="shared" si="423"/>
        <v>1185589</v>
      </c>
      <c r="L319" s="1077">
        <f t="shared" si="423"/>
        <v>5064997</v>
      </c>
      <c r="M319" s="1077">
        <f t="shared" si="422"/>
        <v>2736856</v>
      </c>
      <c r="N319" s="1077">
        <f t="shared" si="422"/>
        <v>15743943</v>
      </c>
      <c r="O319" s="1077">
        <f t="shared" si="422"/>
        <v>0</v>
      </c>
      <c r="P319" s="1077">
        <f t="shared" si="422"/>
        <v>0</v>
      </c>
      <c r="Q319" s="1078">
        <f t="shared" si="422"/>
        <v>0</v>
      </c>
    </row>
    <row r="320" spans="1:17" s="896" customFormat="1" ht="15" customHeight="1">
      <c r="A320" s="886"/>
      <c r="B320" s="887"/>
      <c r="C320" s="1079" t="s">
        <v>2616</v>
      </c>
      <c r="D320" s="1079"/>
      <c r="E320" s="891"/>
      <c r="F320" s="911">
        <f t="shared" si="409"/>
        <v>0</v>
      </c>
      <c r="G320" s="1080">
        <f t="shared" ref="G320:Q320" si="424">SUM(G321:G322)-G323</f>
        <v>0</v>
      </c>
      <c r="H320" s="1080">
        <f t="shared" si="424"/>
        <v>0</v>
      </c>
      <c r="I320" s="1080">
        <f t="shared" si="424"/>
        <v>0</v>
      </c>
      <c r="J320" s="1080">
        <f t="shared" ref="J320:L320" si="425">SUM(J321:J322)-J323</f>
        <v>0</v>
      </c>
      <c r="K320" s="1080">
        <f t="shared" si="425"/>
        <v>0</v>
      </c>
      <c r="L320" s="1080">
        <f t="shared" si="425"/>
        <v>0</v>
      </c>
      <c r="M320" s="1080">
        <f t="shared" si="424"/>
        <v>0</v>
      </c>
      <c r="N320" s="1080">
        <f t="shared" si="424"/>
        <v>0</v>
      </c>
      <c r="O320" s="1080">
        <f t="shared" si="424"/>
        <v>0</v>
      </c>
      <c r="P320" s="1080">
        <f t="shared" si="424"/>
        <v>0</v>
      </c>
      <c r="Q320" s="1081">
        <f t="shared" si="424"/>
        <v>0</v>
      </c>
    </row>
    <row r="321" spans="1:17" s="896" customFormat="1" ht="15" customHeight="1">
      <c r="A321" s="886"/>
      <c r="B321" s="887"/>
      <c r="C321" s="1082" t="s">
        <v>2617</v>
      </c>
      <c r="D321" s="1082"/>
      <c r="E321" s="910"/>
      <c r="F321" s="911">
        <f t="shared" si="409"/>
        <v>0</v>
      </c>
      <c r="G321" s="912">
        <f t="shared" ref="G321:Q321" si="426">SUM(G416:G418)+G414</f>
        <v>0</v>
      </c>
      <c r="H321" s="912">
        <f t="shared" si="426"/>
        <v>0</v>
      </c>
      <c r="I321" s="912">
        <f t="shared" si="426"/>
        <v>0</v>
      </c>
      <c r="J321" s="912">
        <f t="shared" ref="J321:L321" si="427">SUM(J416:J418)+J414</f>
        <v>0</v>
      </c>
      <c r="K321" s="912">
        <f t="shared" si="427"/>
        <v>0</v>
      </c>
      <c r="L321" s="912">
        <f t="shared" si="427"/>
        <v>0</v>
      </c>
      <c r="M321" s="912">
        <f t="shared" si="426"/>
        <v>0</v>
      </c>
      <c r="N321" s="912">
        <f t="shared" si="426"/>
        <v>0</v>
      </c>
      <c r="O321" s="912">
        <f t="shared" si="426"/>
        <v>0</v>
      </c>
      <c r="P321" s="912">
        <f t="shared" si="426"/>
        <v>0</v>
      </c>
      <c r="Q321" s="913">
        <f t="shared" si="426"/>
        <v>0</v>
      </c>
    </row>
    <row r="322" spans="1:17" s="896" customFormat="1" ht="15" customHeight="1">
      <c r="A322" s="886"/>
      <c r="B322" s="887"/>
      <c r="C322" s="1082" t="s">
        <v>2618</v>
      </c>
      <c r="D322" s="1082"/>
      <c r="E322" s="910"/>
      <c r="F322" s="911">
        <f t="shared" si="409"/>
        <v>44071565</v>
      </c>
      <c r="G322" s="912">
        <f t="shared" ref="G322:Q322" si="428">SUM(G419:G430)</f>
        <v>4030064</v>
      </c>
      <c r="H322" s="912">
        <f t="shared" si="428"/>
        <v>2282113</v>
      </c>
      <c r="I322" s="912">
        <f t="shared" si="428"/>
        <v>221648</v>
      </c>
      <c r="J322" s="912">
        <f t="shared" ref="J322:L322" si="429">SUM(J419:J430)</f>
        <v>12806355</v>
      </c>
      <c r="K322" s="912">
        <f t="shared" si="429"/>
        <v>1185589</v>
      </c>
      <c r="L322" s="912">
        <f t="shared" si="429"/>
        <v>5064997</v>
      </c>
      <c r="M322" s="912">
        <f t="shared" si="428"/>
        <v>2736856</v>
      </c>
      <c r="N322" s="912">
        <f t="shared" si="428"/>
        <v>15743943</v>
      </c>
      <c r="O322" s="912">
        <f t="shared" si="428"/>
        <v>0</v>
      </c>
      <c r="P322" s="912">
        <f t="shared" si="428"/>
        <v>0</v>
      </c>
      <c r="Q322" s="913">
        <f t="shared" si="428"/>
        <v>0</v>
      </c>
    </row>
    <row r="323" spans="1:17" s="896" customFormat="1" ht="15" customHeight="1">
      <c r="A323" s="886"/>
      <c r="B323" s="887"/>
      <c r="C323" s="1082" t="s">
        <v>2619</v>
      </c>
      <c r="D323" s="1082"/>
      <c r="E323" s="910"/>
      <c r="F323" s="911">
        <f t="shared" si="409"/>
        <v>44071565</v>
      </c>
      <c r="G323" s="912">
        <f t="shared" ref="G323:Q323" si="430">+G428</f>
        <v>4030064</v>
      </c>
      <c r="H323" s="912">
        <f t="shared" si="430"/>
        <v>2282113</v>
      </c>
      <c r="I323" s="912">
        <f t="shared" si="430"/>
        <v>221648</v>
      </c>
      <c r="J323" s="912">
        <f t="shared" ref="J323:L323" si="431">+J428</f>
        <v>12806355</v>
      </c>
      <c r="K323" s="912">
        <f t="shared" si="431"/>
        <v>1185589</v>
      </c>
      <c r="L323" s="912">
        <f t="shared" si="431"/>
        <v>5064997</v>
      </c>
      <c r="M323" s="912">
        <f t="shared" si="430"/>
        <v>2736856</v>
      </c>
      <c r="N323" s="912">
        <f t="shared" si="430"/>
        <v>15743943</v>
      </c>
      <c r="O323" s="912">
        <f t="shared" si="430"/>
        <v>0</v>
      </c>
      <c r="P323" s="912">
        <f t="shared" si="430"/>
        <v>0</v>
      </c>
      <c r="Q323" s="913">
        <f t="shared" si="430"/>
        <v>0</v>
      </c>
    </row>
    <row r="324" spans="1:17" s="896" customFormat="1" ht="15" customHeight="1">
      <c r="A324" s="886"/>
      <c r="B324" s="887"/>
      <c r="C324" s="701" t="s">
        <v>2620</v>
      </c>
      <c r="D324" s="701"/>
      <c r="E324" s="910"/>
      <c r="F324" s="911">
        <f t="shared" si="409"/>
        <v>51242273</v>
      </c>
      <c r="G324" s="912">
        <f>SUM(G325:G328)</f>
        <v>4828051</v>
      </c>
      <c r="H324" s="912">
        <f t="shared" ref="H324:Q324" si="432">SUM(H325:H328)</f>
        <v>2866004</v>
      </c>
      <c r="I324" s="912">
        <f t="shared" si="432"/>
        <v>273691</v>
      </c>
      <c r="J324" s="912">
        <f t="shared" ref="J324:L324" si="433">SUM(J325:J328)</f>
        <v>14069159</v>
      </c>
      <c r="K324" s="912">
        <f t="shared" si="433"/>
        <v>1327248</v>
      </c>
      <c r="L324" s="912">
        <f t="shared" si="433"/>
        <v>6150042</v>
      </c>
      <c r="M324" s="912">
        <f t="shared" si="432"/>
        <v>3688210</v>
      </c>
      <c r="N324" s="912">
        <f t="shared" si="432"/>
        <v>18039868</v>
      </c>
      <c r="O324" s="912">
        <f t="shared" si="432"/>
        <v>0</v>
      </c>
      <c r="P324" s="912">
        <f t="shared" si="432"/>
        <v>0</v>
      </c>
      <c r="Q324" s="913">
        <f t="shared" si="432"/>
        <v>0</v>
      </c>
    </row>
    <row r="325" spans="1:17" s="896" customFormat="1" ht="15" customHeight="1">
      <c r="A325" s="886"/>
      <c r="B325" s="887"/>
      <c r="C325" s="1082" t="s">
        <v>2617</v>
      </c>
      <c r="D325" s="1082"/>
      <c r="E325" s="910"/>
      <c r="F325" s="1083">
        <f t="shared" si="409"/>
        <v>48632311</v>
      </c>
      <c r="G325" s="912">
        <f>IF(G452=0,0,+G452-G469)</f>
        <v>4582104</v>
      </c>
      <c r="H325" s="912">
        <f t="shared" ref="H325:Q325" si="434">IF(H452=0,0,+H452-H469)</f>
        <v>2719997</v>
      </c>
      <c r="I325" s="912">
        <f t="shared" si="434"/>
        <v>259724</v>
      </c>
      <c r="J325" s="912">
        <f t="shared" ref="J325:L325" si="435">IF(J452=0,0,+J452-J469)</f>
        <v>13352592</v>
      </c>
      <c r="K325" s="912">
        <f t="shared" si="435"/>
        <v>1259627</v>
      </c>
      <c r="L325" s="912">
        <f t="shared" si="435"/>
        <v>5836840</v>
      </c>
      <c r="M325" s="912">
        <f t="shared" si="434"/>
        <v>3500363</v>
      </c>
      <c r="N325" s="912">
        <f t="shared" si="434"/>
        <v>17121064</v>
      </c>
      <c r="O325" s="912">
        <f t="shared" si="434"/>
        <v>0</v>
      </c>
      <c r="P325" s="912">
        <f t="shared" si="434"/>
        <v>0</v>
      </c>
      <c r="Q325" s="913">
        <f t="shared" si="434"/>
        <v>0</v>
      </c>
    </row>
    <row r="326" spans="1:17" s="896" customFormat="1" ht="15" customHeight="1">
      <c r="A326" s="886"/>
      <c r="B326" s="887"/>
      <c r="C326" s="1082" t="s">
        <v>2621</v>
      </c>
      <c r="D326" s="1082"/>
      <c r="E326" s="910"/>
      <c r="F326" s="911">
        <f t="shared" si="409"/>
        <v>2609962</v>
      </c>
      <c r="G326" s="912">
        <f t="shared" ref="G326:Q326" si="436">+G453+G454</f>
        <v>245947</v>
      </c>
      <c r="H326" s="912">
        <f t="shared" si="436"/>
        <v>146007</v>
      </c>
      <c r="I326" s="912">
        <f t="shared" si="436"/>
        <v>13967</v>
      </c>
      <c r="J326" s="912">
        <f t="shared" ref="J326:L326" si="437">+J453+J454</f>
        <v>716567</v>
      </c>
      <c r="K326" s="912">
        <f t="shared" si="437"/>
        <v>67621</v>
      </c>
      <c r="L326" s="912">
        <f t="shared" si="437"/>
        <v>313202</v>
      </c>
      <c r="M326" s="912">
        <f t="shared" si="436"/>
        <v>187847</v>
      </c>
      <c r="N326" s="912">
        <f t="shared" si="436"/>
        <v>918804</v>
      </c>
      <c r="O326" s="912">
        <f t="shared" si="436"/>
        <v>0</v>
      </c>
      <c r="P326" s="912">
        <f t="shared" si="436"/>
        <v>0</v>
      </c>
      <c r="Q326" s="913">
        <f t="shared" si="436"/>
        <v>0</v>
      </c>
    </row>
    <row r="327" spans="1:17" s="896" customFormat="1" ht="15" customHeight="1">
      <c r="A327" s="886"/>
      <c r="B327" s="887"/>
      <c r="C327" s="1082" t="s">
        <v>2622</v>
      </c>
      <c r="D327" s="1082"/>
      <c r="E327" s="910"/>
      <c r="F327" s="911">
        <f t="shared" si="409"/>
        <v>0</v>
      </c>
      <c r="G327" s="912">
        <f t="shared" ref="G327:Q327" si="438">SUM(G455:G459)</f>
        <v>0</v>
      </c>
      <c r="H327" s="912">
        <f t="shared" si="438"/>
        <v>0</v>
      </c>
      <c r="I327" s="912">
        <f t="shared" si="438"/>
        <v>0</v>
      </c>
      <c r="J327" s="912">
        <f t="shared" ref="J327:L327" si="439">SUM(J455:J459)</f>
        <v>0</v>
      </c>
      <c r="K327" s="912">
        <f t="shared" si="439"/>
        <v>0</v>
      </c>
      <c r="L327" s="912">
        <f t="shared" si="439"/>
        <v>0</v>
      </c>
      <c r="M327" s="912">
        <f t="shared" si="438"/>
        <v>0</v>
      </c>
      <c r="N327" s="912">
        <f t="shared" si="438"/>
        <v>0</v>
      </c>
      <c r="O327" s="912">
        <f t="shared" si="438"/>
        <v>0</v>
      </c>
      <c r="P327" s="912">
        <f t="shared" si="438"/>
        <v>0</v>
      </c>
      <c r="Q327" s="913">
        <f t="shared" si="438"/>
        <v>0</v>
      </c>
    </row>
    <row r="328" spans="1:17" s="896" customFormat="1" ht="15" customHeight="1">
      <c r="A328" s="886"/>
      <c r="B328" s="887"/>
      <c r="C328" s="924" t="s">
        <v>2623</v>
      </c>
      <c r="D328" s="887"/>
      <c r="E328" s="925"/>
      <c r="F328" s="926">
        <f t="shared" si="409"/>
        <v>0</v>
      </c>
      <c r="G328" s="1075">
        <f>IF(G460=0,0,+G460-G469)</f>
        <v>0</v>
      </c>
      <c r="H328" s="1075">
        <f t="shared" ref="H328:Q328" si="440">IF(H460=0,0,+H460-H469)</f>
        <v>0</v>
      </c>
      <c r="I328" s="1075">
        <f t="shared" si="440"/>
        <v>0</v>
      </c>
      <c r="J328" s="1075">
        <f t="shared" ref="J328:L328" si="441">IF(J460=0,0,+J460-J469)</f>
        <v>0</v>
      </c>
      <c r="K328" s="1075">
        <f t="shared" si="441"/>
        <v>0</v>
      </c>
      <c r="L328" s="1075">
        <f t="shared" si="441"/>
        <v>0</v>
      </c>
      <c r="M328" s="1075">
        <f t="shared" si="440"/>
        <v>0</v>
      </c>
      <c r="N328" s="1075">
        <f t="shared" si="440"/>
        <v>0</v>
      </c>
      <c r="O328" s="1075">
        <f t="shared" si="440"/>
        <v>0</v>
      </c>
      <c r="P328" s="1075">
        <f t="shared" si="440"/>
        <v>0</v>
      </c>
      <c r="Q328" s="1076">
        <f t="shared" si="440"/>
        <v>0</v>
      </c>
    </row>
    <row r="329" spans="1:17" s="896" customFormat="1" ht="15" customHeight="1">
      <c r="A329" s="1084"/>
      <c r="B329" s="902" t="s">
        <v>2624</v>
      </c>
      <c r="C329" s="902"/>
      <c r="D329" s="902"/>
      <c r="E329" s="1085"/>
      <c r="F329" s="904">
        <f t="shared" si="409"/>
        <v>491000000</v>
      </c>
      <c r="G329" s="905">
        <f t="shared" ref="G329:Q329" si="442">G307+G318</f>
        <v>46268000</v>
      </c>
      <c r="H329" s="905">
        <f t="shared" si="442"/>
        <v>27467000</v>
      </c>
      <c r="I329" s="905">
        <f t="shared" si="442"/>
        <v>2627000</v>
      </c>
      <c r="J329" s="905">
        <f t="shared" ref="J329:L329" si="443">J307+J318</f>
        <v>134805000</v>
      </c>
      <c r="K329" s="905">
        <f t="shared" si="443"/>
        <v>12721000</v>
      </c>
      <c r="L329" s="905">
        <f t="shared" si="443"/>
        <v>58922000</v>
      </c>
      <c r="M329" s="905">
        <f t="shared" si="442"/>
        <v>35339000</v>
      </c>
      <c r="N329" s="905">
        <f t="shared" si="442"/>
        <v>172851000</v>
      </c>
      <c r="O329" s="905">
        <f t="shared" si="442"/>
        <v>0</v>
      </c>
      <c r="P329" s="905">
        <f t="shared" si="442"/>
        <v>0</v>
      </c>
      <c r="Q329" s="906">
        <f t="shared" si="442"/>
        <v>0</v>
      </c>
    </row>
    <row r="330" spans="1:17" s="896" customFormat="1" ht="15" customHeight="1">
      <c r="A330" s="1086"/>
      <c r="B330" s="887"/>
      <c r="C330" s="1087" t="s">
        <v>2625</v>
      </c>
      <c r="D330" s="1087"/>
      <c r="E330" s="1088"/>
      <c r="F330" s="1042"/>
      <c r="G330" s="1089" t="s">
        <v>2626</v>
      </c>
      <c r="H330" s="1090"/>
      <c r="I330" s="1046"/>
      <c r="J330" s="1046"/>
      <c r="K330" s="1046"/>
      <c r="L330" s="1046"/>
      <c r="M330" s="1046"/>
      <c r="N330" s="1046"/>
      <c r="O330" s="1046"/>
      <c r="P330" s="1046"/>
      <c r="Q330" s="1046"/>
    </row>
    <row r="331" spans="1:17" s="896" customFormat="1" ht="15" customHeight="1">
      <c r="A331" s="877"/>
      <c r="B331" s="878"/>
      <c r="C331" s="878"/>
      <c r="D331" s="878"/>
      <c r="E331" s="1091"/>
      <c r="F331" s="1092" t="s">
        <v>2517</v>
      </c>
      <c r="G331" s="1304" t="str">
        <f>+G302</f>
        <v>可動式ホーム柵設置に伴う建築工事</v>
      </c>
      <c r="H331" s="1093" t="str">
        <f t="shared" ref="H331:Q331" si="444">+H302</f>
        <v>隙間解消工事</v>
      </c>
      <c r="I331" s="1093" t="str">
        <f t="shared" si="444"/>
        <v>列車停止位置変更に伴う建築工事</v>
      </c>
      <c r="J331" s="1093" t="str">
        <f t="shared" ref="J331:L331" si="445">+J302</f>
        <v>床仕上改造その他工事</v>
      </c>
      <c r="K331" s="1093" t="str">
        <f t="shared" si="445"/>
        <v>整列乗車対策工事</v>
      </c>
      <c r="L331" s="1093" t="str">
        <f t="shared" si="445"/>
        <v>可動式ホーム柵設置に伴う建築工事</v>
      </c>
      <c r="M331" s="1093" t="str">
        <f t="shared" si="444"/>
        <v>隙間解消工事</v>
      </c>
      <c r="N331" s="1093" t="str">
        <f t="shared" si="444"/>
        <v>床仕上改造その他工事</v>
      </c>
      <c r="O331" s="1093">
        <f t="shared" si="444"/>
        <v>0</v>
      </c>
      <c r="P331" s="1093">
        <f t="shared" si="444"/>
        <v>0</v>
      </c>
      <c r="Q331" s="1094">
        <f t="shared" si="444"/>
        <v>0</v>
      </c>
    </row>
    <row r="332" spans="1:17" s="896" customFormat="1" ht="15" customHeight="1">
      <c r="A332" s="929" t="s">
        <v>2540</v>
      </c>
      <c r="B332" s="930"/>
      <c r="C332" s="930"/>
      <c r="D332" s="930"/>
      <c r="E332" s="1190"/>
      <c r="F332" s="1305"/>
      <c r="G332" s="1306"/>
      <c r="H332" s="1306"/>
      <c r="I332" s="1306"/>
      <c r="J332" s="1306"/>
      <c r="K332" s="1306"/>
      <c r="L332" s="1306"/>
      <c r="M332" s="1306"/>
      <c r="N332" s="1306"/>
      <c r="O332" s="1306"/>
      <c r="P332" s="1306"/>
      <c r="Q332" s="1307"/>
    </row>
    <row r="333" spans="1:17" s="896" customFormat="1" ht="15" customHeight="1">
      <c r="A333" s="2642"/>
      <c r="B333" s="2604" t="s">
        <v>2541</v>
      </c>
      <c r="C333" s="695" t="s">
        <v>2542</v>
      </c>
      <c r="D333" s="695"/>
      <c r="E333" s="882"/>
      <c r="F333" s="907">
        <f t="shared" ref="F333:F339" si="446">SUM(G333:Q333)</f>
        <v>0</v>
      </c>
      <c r="G333" s="1077">
        <f t="shared" ref="G333:Q348" si="447">+G117+G26</f>
        <v>0</v>
      </c>
      <c r="H333" s="1077">
        <f t="shared" si="447"/>
        <v>0</v>
      </c>
      <c r="I333" s="1077">
        <f t="shared" si="447"/>
        <v>0</v>
      </c>
      <c r="J333" s="1077">
        <f t="shared" ref="J333:L333" si="448">+J117+J26</f>
        <v>0</v>
      </c>
      <c r="K333" s="1077">
        <f t="shared" si="448"/>
        <v>0</v>
      </c>
      <c r="L333" s="1077">
        <f t="shared" si="448"/>
        <v>0</v>
      </c>
      <c r="M333" s="1077">
        <f t="shared" si="447"/>
        <v>0</v>
      </c>
      <c r="N333" s="1077">
        <f t="shared" si="447"/>
        <v>0</v>
      </c>
      <c r="O333" s="1077">
        <f t="shared" si="447"/>
        <v>0</v>
      </c>
      <c r="P333" s="1077">
        <f t="shared" si="447"/>
        <v>0</v>
      </c>
      <c r="Q333" s="1078">
        <f t="shared" si="447"/>
        <v>0</v>
      </c>
    </row>
    <row r="334" spans="1:17" s="896" customFormat="1" ht="15" customHeight="1">
      <c r="A334" s="2602"/>
      <c r="B334" s="2605"/>
      <c r="C334" s="702" t="s">
        <v>2543</v>
      </c>
      <c r="D334" s="702"/>
      <c r="E334" s="910"/>
      <c r="F334" s="911">
        <f t="shared" si="446"/>
        <v>0</v>
      </c>
      <c r="G334" s="912">
        <f t="shared" si="447"/>
        <v>0</v>
      </c>
      <c r="H334" s="912">
        <f t="shared" si="447"/>
        <v>0</v>
      </c>
      <c r="I334" s="912">
        <f t="shared" si="447"/>
        <v>0</v>
      </c>
      <c r="J334" s="912">
        <f t="shared" ref="J334:L334" si="449">+J118+J27</f>
        <v>0</v>
      </c>
      <c r="K334" s="912">
        <f t="shared" si="449"/>
        <v>0</v>
      </c>
      <c r="L334" s="912">
        <f t="shared" si="449"/>
        <v>0</v>
      </c>
      <c r="M334" s="912">
        <f t="shared" si="447"/>
        <v>0</v>
      </c>
      <c r="N334" s="912">
        <f t="shared" si="447"/>
        <v>0</v>
      </c>
      <c r="O334" s="912">
        <f t="shared" si="447"/>
        <v>0</v>
      </c>
      <c r="P334" s="912">
        <f t="shared" si="447"/>
        <v>0</v>
      </c>
      <c r="Q334" s="913">
        <f t="shared" si="447"/>
        <v>0</v>
      </c>
    </row>
    <row r="335" spans="1:17" s="896" customFormat="1" ht="15" customHeight="1">
      <c r="A335" s="2602"/>
      <c r="B335" s="2605"/>
      <c r="C335" s="936" t="s">
        <v>2627</v>
      </c>
      <c r="D335" s="702"/>
      <c r="E335" s="910"/>
      <c r="F335" s="911">
        <f t="shared" si="446"/>
        <v>0</v>
      </c>
      <c r="G335" s="912">
        <f t="shared" si="447"/>
        <v>0</v>
      </c>
      <c r="H335" s="912">
        <f t="shared" si="447"/>
        <v>0</v>
      </c>
      <c r="I335" s="912">
        <f t="shared" si="447"/>
        <v>0</v>
      </c>
      <c r="J335" s="912">
        <f t="shared" ref="J335:L335" si="450">+J119+J28</f>
        <v>0</v>
      </c>
      <c r="K335" s="912">
        <f t="shared" si="450"/>
        <v>0</v>
      </c>
      <c r="L335" s="912">
        <f t="shared" si="450"/>
        <v>0</v>
      </c>
      <c r="M335" s="912">
        <f t="shared" si="447"/>
        <v>0</v>
      </c>
      <c r="N335" s="912">
        <f t="shared" si="447"/>
        <v>0</v>
      </c>
      <c r="O335" s="912">
        <f t="shared" si="447"/>
        <v>0</v>
      </c>
      <c r="P335" s="912">
        <f t="shared" si="447"/>
        <v>0</v>
      </c>
      <c r="Q335" s="913">
        <f t="shared" si="447"/>
        <v>0</v>
      </c>
    </row>
    <row r="336" spans="1:17" s="896" customFormat="1" ht="15" customHeight="1">
      <c r="A336" s="2602"/>
      <c r="B336" s="2606"/>
      <c r="C336" s="936" t="s">
        <v>2545</v>
      </c>
      <c r="D336" s="702"/>
      <c r="E336" s="910"/>
      <c r="F336" s="911">
        <f t="shared" si="446"/>
        <v>0</v>
      </c>
      <c r="G336" s="912">
        <f t="shared" si="447"/>
        <v>0</v>
      </c>
      <c r="H336" s="912">
        <f t="shared" si="447"/>
        <v>0</v>
      </c>
      <c r="I336" s="912">
        <f t="shared" si="447"/>
        <v>0</v>
      </c>
      <c r="J336" s="912">
        <f t="shared" ref="J336:L336" si="451">+J120+J29</f>
        <v>0</v>
      </c>
      <c r="K336" s="912">
        <f t="shared" si="451"/>
        <v>0</v>
      </c>
      <c r="L336" s="912">
        <f t="shared" si="451"/>
        <v>0</v>
      </c>
      <c r="M336" s="912">
        <f t="shared" si="447"/>
        <v>0</v>
      </c>
      <c r="N336" s="912">
        <f t="shared" si="447"/>
        <v>0</v>
      </c>
      <c r="O336" s="912">
        <f t="shared" si="447"/>
        <v>0</v>
      </c>
      <c r="P336" s="912">
        <f t="shared" si="447"/>
        <v>0</v>
      </c>
      <c r="Q336" s="913">
        <f t="shared" si="447"/>
        <v>0</v>
      </c>
    </row>
    <row r="337" spans="1:17" s="896" customFormat="1" ht="15" customHeight="1">
      <c r="A337" s="2602"/>
      <c r="B337" s="2607" t="s">
        <v>2546</v>
      </c>
      <c r="C337" s="701" t="s">
        <v>2628</v>
      </c>
      <c r="D337" s="702"/>
      <c r="E337" s="910"/>
      <c r="F337" s="911">
        <f t="shared" si="446"/>
        <v>0</v>
      </c>
      <c r="G337" s="1302">
        <f t="shared" si="447"/>
        <v>0</v>
      </c>
      <c r="H337" s="1302">
        <f t="shared" si="447"/>
        <v>0</v>
      </c>
      <c r="I337" s="1302">
        <f t="shared" si="447"/>
        <v>0</v>
      </c>
      <c r="J337" s="1302">
        <f t="shared" ref="J337:L337" si="452">+J121+J30</f>
        <v>0</v>
      </c>
      <c r="K337" s="1302">
        <f t="shared" si="452"/>
        <v>0</v>
      </c>
      <c r="L337" s="1302">
        <f t="shared" si="452"/>
        <v>0</v>
      </c>
      <c r="M337" s="1302">
        <f t="shared" si="447"/>
        <v>0</v>
      </c>
      <c r="N337" s="1302">
        <f t="shared" si="447"/>
        <v>0</v>
      </c>
      <c r="O337" s="1302">
        <f t="shared" si="447"/>
        <v>0</v>
      </c>
      <c r="P337" s="1302">
        <f t="shared" si="447"/>
        <v>0</v>
      </c>
      <c r="Q337" s="1303">
        <f t="shared" si="447"/>
        <v>0</v>
      </c>
    </row>
    <row r="338" spans="1:17" s="896" customFormat="1" ht="13.5" customHeight="1">
      <c r="A338" s="2602"/>
      <c r="B338" s="2605"/>
      <c r="C338" s="701" t="s">
        <v>2548</v>
      </c>
      <c r="D338" s="702"/>
      <c r="E338" s="910"/>
      <c r="F338" s="911">
        <f t="shared" si="446"/>
        <v>0</v>
      </c>
      <c r="G338" s="1302">
        <f t="shared" si="447"/>
        <v>0</v>
      </c>
      <c r="H338" s="1302">
        <f t="shared" si="447"/>
        <v>0</v>
      </c>
      <c r="I338" s="1302">
        <f t="shared" si="447"/>
        <v>0</v>
      </c>
      <c r="J338" s="1302">
        <f t="shared" ref="J338:L338" si="453">+J122+J31</f>
        <v>0</v>
      </c>
      <c r="K338" s="1302">
        <f t="shared" si="453"/>
        <v>0</v>
      </c>
      <c r="L338" s="1302">
        <f t="shared" si="453"/>
        <v>0</v>
      </c>
      <c r="M338" s="1302">
        <f t="shared" si="447"/>
        <v>0</v>
      </c>
      <c r="N338" s="1302">
        <f t="shared" si="447"/>
        <v>0</v>
      </c>
      <c r="O338" s="1302">
        <f t="shared" si="447"/>
        <v>0</v>
      </c>
      <c r="P338" s="1302">
        <f t="shared" si="447"/>
        <v>0</v>
      </c>
      <c r="Q338" s="1303">
        <f t="shared" si="447"/>
        <v>0</v>
      </c>
    </row>
    <row r="339" spans="1:17" s="896" customFormat="1" ht="13.5" customHeight="1">
      <c r="A339" s="2602"/>
      <c r="B339" s="2605"/>
      <c r="C339" s="702" t="s">
        <v>2549</v>
      </c>
      <c r="D339" s="702"/>
      <c r="E339" s="910"/>
      <c r="F339" s="911">
        <f t="shared" si="446"/>
        <v>0</v>
      </c>
      <c r="G339" s="1302">
        <f t="shared" si="447"/>
        <v>0</v>
      </c>
      <c r="H339" s="1302">
        <f t="shared" si="447"/>
        <v>0</v>
      </c>
      <c r="I339" s="1302">
        <f t="shared" si="447"/>
        <v>0</v>
      </c>
      <c r="J339" s="1302">
        <f t="shared" ref="J339:L339" si="454">+J123+J32</f>
        <v>0</v>
      </c>
      <c r="K339" s="1302">
        <f t="shared" si="454"/>
        <v>0</v>
      </c>
      <c r="L339" s="1302">
        <f t="shared" si="454"/>
        <v>0</v>
      </c>
      <c r="M339" s="1302">
        <f t="shared" si="447"/>
        <v>0</v>
      </c>
      <c r="N339" s="1302">
        <f t="shared" si="447"/>
        <v>0</v>
      </c>
      <c r="O339" s="1302">
        <f t="shared" si="447"/>
        <v>0</v>
      </c>
      <c r="P339" s="1302">
        <f t="shared" si="447"/>
        <v>0</v>
      </c>
      <c r="Q339" s="1303">
        <f t="shared" si="447"/>
        <v>0</v>
      </c>
    </row>
    <row r="340" spans="1:17" s="896" customFormat="1" ht="13.5" customHeight="1">
      <c r="A340" s="2602"/>
      <c r="B340" s="2605"/>
      <c r="C340" s="702" t="s">
        <v>2629</v>
      </c>
      <c r="D340" s="702"/>
      <c r="E340" s="910"/>
      <c r="F340" s="911"/>
      <c r="G340" s="912">
        <f t="shared" si="447"/>
        <v>0</v>
      </c>
      <c r="H340" s="912">
        <f t="shared" si="447"/>
        <v>0</v>
      </c>
      <c r="I340" s="912">
        <f t="shared" si="447"/>
        <v>0</v>
      </c>
      <c r="J340" s="912">
        <f t="shared" ref="J340:L340" si="455">+J124+J33</f>
        <v>0</v>
      </c>
      <c r="K340" s="912">
        <f t="shared" si="455"/>
        <v>0</v>
      </c>
      <c r="L340" s="912">
        <f t="shared" si="455"/>
        <v>0</v>
      </c>
      <c r="M340" s="912">
        <f t="shared" si="447"/>
        <v>0</v>
      </c>
      <c r="N340" s="912">
        <f t="shared" si="447"/>
        <v>0</v>
      </c>
      <c r="O340" s="912">
        <f t="shared" si="447"/>
        <v>0</v>
      </c>
      <c r="P340" s="912">
        <f t="shared" si="447"/>
        <v>0</v>
      </c>
      <c r="Q340" s="913">
        <f t="shared" si="447"/>
        <v>0</v>
      </c>
    </row>
    <row r="341" spans="1:17" s="896" customFormat="1" ht="13.5" customHeight="1">
      <c r="A341" s="2602"/>
      <c r="B341" s="2605"/>
      <c r="C341" s="702" t="s">
        <v>2551</v>
      </c>
      <c r="D341" s="702"/>
      <c r="E341" s="910"/>
      <c r="F341" s="911"/>
      <c r="G341" s="912">
        <f t="shared" si="447"/>
        <v>0</v>
      </c>
      <c r="H341" s="912">
        <f t="shared" si="447"/>
        <v>0</v>
      </c>
      <c r="I341" s="912">
        <f t="shared" si="447"/>
        <v>0</v>
      </c>
      <c r="J341" s="912">
        <f t="shared" ref="J341:L341" si="456">+J125+J34</f>
        <v>0</v>
      </c>
      <c r="K341" s="912">
        <f t="shared" si="456"/>
        <v>0</v>
      </c>
      <c r="L341" s="912">
        <f t="shared" si="456"/>
        <v>0</v>
      </c>
      <c r="M341" s="912">
        <f t="shared" si="447"/>
        <v>0</v>
      </c>
      <c r="N341" s="912">
        <f t="shared" si="447"/>
        <v>0</v>
      </c>
      <c r="O341" s="912">
        <f t="shared" si="447"/>
        <v>0</v>
      </c>
      <c r="P341" s="912">
        <f t="shared" si="447"/>
        <v>0</v>
      </c>
      <c r="Q341" s="913">
        <f t="shared" si="447"/>
        <v>0</v>
      </c>
    </row>
    <row r="342" spans="1:17" s="896" customFormat="1" ht="13.5" customHeight="1">
      <c r="A342" s="2602"/>
      <c r="B342" s="2605"/>
      <c r="C342" s="702" t="s">
        <v>2552</v>
      </c>
      <c r="D342" s="702"/>
      <c r="E342" s="910"/>
      <c r="F342" s="911">
        <f t="shared" ref="F342:F352" si="457">SUM(G342:Q342)</f>
        <v>0</v>
      </c>
      <c r="G342" s="1302">
        <f t="shared" si="447"/>
        <v>0</v>
      </c>
      <c r="H342" s="1302">
        <f t="shared" si="447"/>
        <v>0</v>
      </c>
      <c r="I342" s="1302">
        <f t="shared" si="447"/>
        <v>0</v>
      </c>
      <c r="J342" s="1302">
        <f t="shared" ref="J342:L342" si="458">+J126+J35</f>
        <v>0</v>
      </c>
      <c r="K342" s="1302">
        <f t="shared" si="458"/>
        <v>0</v>
      </c>
      <c r="L342" s="1302">
        <f t="shared" si="458"/>
        <v>0</v>
      </c>
      <c r="M342" s="1302">
        <f t="shared" si="447"/>
        <v>0</v>
      </c>
      <c r="N342" s="1302">
        <f t="shared" si="447"/>
        <v>0</v>
      </c>
      <c r="O342" s="1302">
        <f t="shared" si="447"/>
        <v>0</v>
      </c>
      <c r="P342" s="1302">
        <f t="shared" si="447"/>
        <v>0</v>
      </c>
      <c r="Q342" s="1303">
        <f t="shared" si="447"/>
        <v>0</v>
      </c>
    </row>
    <row r="343" spans="1:17" s="896" customFormat="1" ht="13.5" customHeight="1">
      <c r="A343" s="2602"/>
      <c r="B343" s="2605"/>
      <c r="C343" s="937" t="s">
        <v>2630</v>
      </c>
      <c r="D343" s="702"/>
      <c r="E343" s="910"/>
      <c r="F343" s="911">
        <f t="shared" si="457"/>
        <v>0</v>
      </c>
      <c r="G343" s="912">
        <f t="shared" si="447"/>
        <v>0</v>
      </c>
      <c r="H343" s="912">
        <f t="shared" si="447"/>
        <v>0</v>
      </c>
      <c r="I343" s="912">
        <f t="shared" si="447"/>
        <v>0</v>
      </c>
      <c r="J343" s="912">
        <f t="shared" ref="J343:L343" si="459">+J127+J36</f>
        <v>0</v>
      </c>
      <c r="K343" s="912">
        <f t="shared" si="459"/>
        <v>0</v>
      </c>
      <c r="L343" s="912">
        <f t="shared" si="459"/>
        <v>0</v>
      </c>
      <c r="M343" s="912">
        <f t="shared" si="447"/>
        <v>0</v>
      </c>
      <c r="N343" s="912">
        <f t="shared" si="447"/>
        <v>0</v>
      </c>
      <c r="O343" s="912">
        <f t="shared" si="447"/>
        <v>0</v>
      </c>
      <c r="P343" s="912">
        <f t="shared" si="447"/>
        <v>0</v>
      </c>
      <c r="Q343" s="913">
        <f t="shared" si="447"/>
        <v>0</v>
      </c>
    </row>
    <row r="344" spans="1:17" s="896" customFormat="1" ht="13.5" customHeight="1">
      <c r="A344" s="2602"/>
      <c r="B344" s="2605"/>
      <c r="C344" s="938" t="s">
        <v>2631</v>
      </c>
      <c r="D344" s="702"/>
      <c r="E344" s="910"/>
      <c r="F344" s="911">
        <f t="shared" si="457"/>
        <v>0</v>
      </c>
      <c r="G344" s="912">
        <f t="shared" si="447"/>
        <v>0</v>
      </c>
      <c r="H344" s="912">
        <f t="shared" si="447"/>
        <v>0</v>
      </c>
      <c r="I344" s="912">
        <f t="shared" si="447"/>
        <v>0</v>
      </c>
      <c r="J344" s="912">
        <f t="shared" ref="J344:L344" si="460">+J128+J37</f>
        <v>0</v>
      </c>
      <c r="K344" s="912">
        <f t="shared" si="460"/>
        <v>0</v>
      </c>
      <c r="L344" s="912">
        <f t="shared" si="460"/>
        <v>0</v>
      </c>
      <c r="M344" s="912">
        <f t="shared" si="447"/>
        <v>0</v>
      </c>
      <c r="N344" s="912">
        <f t="shared" si="447"/>
        <v>0</v>
      </c>
      <c r="O344" s="912">
        <f t="shared" si="447"/>
        <v>0</v>
      </c>
      <c r="P344" s="912">
        <f t="shared" si="447"/>
        <v>0</v>
      </c>
      <c r="Q344" s="913">
        <f t="shared" si="447"/>
        <v>0</v>
      </c>
    </row>
    <row r="345" spans="1:17" s="896" customFormat="1" ht="13.5" customHeight="1">
      <c r="A345" s="2602"/>
      <c r="B345" s="2606"/>
      <c r="C345" s="702" t="s">
        <v>2555</v>
      </c>
      <c r="D345" s="702"/>
      <c r="E345" s="910"/>
      <c r="F345" s="911">
        <f t="shared" si="457"/>
        <v>0</v>
      </c>
      <c r="G345" s="1302">
        <f t="shared" si="447"/>
        <v>0</v>
      </c>
      <c r="H345" s="1302">
        <f t="shared" si="447"/>
        <v>0</v>
      </c>
      <c r="I345" s="1302">
        <f t="shared" si="447"/>
        <v>0</v>
      </c>
      <c r="J345" s="1302">
        <f t="shared" ref="J345:L345" si="461">+J129+J38</f>
        <v>0</v>
      </c>
      <c r="K345" s="1302">
        <f t="shared" si="461"/>
        <v>0</v>
      </c>
      <c r="L345" s="1302">
        <f t="shared" si="461"/>
        <v>0</v>
      </c>
      <c r="M345" s="1302">
        <f t="shared" si="447"/>
        <v>0</v>
      </c>
      <c r="N345" s="1302">
        <f t="shared" si="447"/>
        <v>0</v>
      </c>
      <c r="O345" s="1302">
        <f t="shared" si="447"/>
        <v>0</v>
      </c>
      <c r="P345" s="1302">
        <f t="shared" si="447"/>
        <v>0</v>
      </c>
      <c r="Q345" s="1303">
        <f t="shared" si="447"/>
        <v>0</v>
      </c>
    </row>
    <row r="346" spans="1:17" s="896" customFormat="1" ht="13.5" customHeight="1">
      <c r="A346" s="2602"/>
      <c r="B346" s="2607" t="s">
        <v>2556</v>
      </c>
      <c r="C346" s="936" t="s">
        <v>2557</v>
      </c>
      <c r="D346" s="702"/>
      <c r="E346" s="910"/>
      <c r="F346" s="911">
        <f t="shared" si="457"/>
        <v>0</v>
      </c>
      <c r="G346" s="1302">
        <f t="shared" si="447"/>
        <v>0</v>
      </c>
      <c r="H346" s="1302">
        <f t="shared" si="447"/>
        <v>0</v>
      </c>
      <c r="I346" s="1302">
        <f t="shared" si="447"/>
        <v>0</v>
      </c>
      <c r="J346" s="1302">
        <f t="shared" ref="J346:L346" si="462">+J130+J39</f>
        <v>0</v>
      </c>
      <c r="K346" s="1302">
        <f t="shared" si="462"/>
        <v>0</v>
      </c>
      <c r="L346" s="1302">
        <f t="shared" si="462"/>
        <v>0</v>
      </c>
      <c r="M346" s="1302">
        <f t="shared" si="447"/>
        <v>0</v>
      </c>
      <c r="N346" s="1302">
        <f t="shared" si="447"/>
        <v>0</v>
      </c>
      <c r="O346" s="1302">
        <f t="shared" si="447"/>
        <v>0</v>
      </c>
      <c r="P346" s="1302">
        <f t="shared" si="447"/>
        <v>0</v>
      </c>
      <c r="Q346" s="1303">
        <f t="shared" si="447"/>
        <v>0</v>
      </c>
    </row>
    <row r="347" spans="1:17" s="896" customFormat="1" ht="13.5" customHeight="1">
      <c r="A347" s="2602"/>
      <c r="B347" s="2605"/>
      <c r="C347" s="936" t="s">
        <v>2558</v>
      </c>
      <c r="D347" s="702"/>
      <c r="E347" s="910"/>
      <c r="F347" s="911">
        <f t="shared" si="457"/>
        <v>0</v>
      </c>
      <c r="G347" s="912">
        <f t="shared" si="447"/>
        <v>0</v>
      </c>
      <c r="H347" s="912">
        <f t="shared" si="447"/>
        <v>0</v>
      </c>
      <c r="I347" s="912">
        <f t="shared" si="447"/>
        <v>0</v>
      </c>
      <c r="J347" s="912">
        <f t="shared" ref="J347:L347" si="463">+J131+J40</f>
        <v>0</v>
      </c>
      <c r="K347" s="912">
        <f t="shared" si="463"/>
        <v>0</v>
      </c>
      <c r="L347" s="912">
        <f t="shared" si="463"/>
        <v>0</v>
      </c>
      <c r="M347" s="912">
        <f t="shared" si="447"/>
        <v>0</v>
      </c>
      <c r="N347" s="912">
        <f t="shared" si="447"/>
        <v>0</v>
      </c>
      <c r="O347" s="912">
        <f t="shared" si="447"/>
        <v>0</v>
      </c>
      <c r="P347" s="912">
        <f t="shared" si="447"/>
        <v>0</v>
      </c>
      <c r="Q347" s="913">
        <f t="shared" si="447"/>
        <v>0</v>
      </c>
    </row>
    <row r="348" spans="1:17" s="896" customFormat="1" ht="13.5" customHeight="1">
      <c r="A348" s="2602"/>
      <c r="B348" s="2605"/>
      <c r="C348" s="702" t="s">
        <v>2559</v>
      </c>
      <c r="D348" s="702"/>
      <c r="E348" s="910"/>
      <c r="F348" s="911">
        <f t="shared" si="457"/>
        <v>0</v>
      </c>
      <c r="G348" s="912">
        <f t="shared" si="447"/>
        <v>0</v>
      </c>
      <c r="H348" s="912">
        <f t="shared" si="447"/>
        <v>0</v>
      </c>
      <c r="I348" s="912">
        <f t="shared" si="447"/>
        <v>0</v>
      </c>
      <c r="J348" s="912">
        <f t="shared" ref="J348:L348" si="464">+J132+J41</f>
        <v>0</v>
      </c>
      <c r="K348" s="912">
        <f t="shared" si="464"/>
        <v>0</v>
      </c>
      <c r="L348" s="912">
        <f t="shared" si="464"/>
        <v>0</v>
      </c>
      <c r="M348" s="912">
        <f t="shared" si="447"/>
        <v>0</v>
      </c>
      <c r="N348" s="912">
        <f t="shared" si="447"/>
        <v>0</v>
      </c>
      <c r="O348" s="912">
        <f t="shared" si="447"/>
        <v>0</v>
      </c>
      <c r="P348" s="912">
        <f t="shared" si="447"/>
        <v>0</v>
      </c>
      <c r="Q348" s="913">
        <f t="shared" si="447"/>
        <v>0</v>
      </c>
    </row>
    <row r="349" spans="1:17" s="896" customFormat="1" ht="13.5" customHeight="1">
      <c r="A349" s="2602"/>
      <c r="B349" s="2605"/>
      <c r="C349" s="702" t="s">
        <v>2722</v>
      </c>
      <c r="D349" s="702"/>
      <c r="E349" s="910"/>
      <c r="F349" s="911">
        <f t="shared" si="457"/>
        <v>0</v>
      </c>
      <c r="G349" s="1302">
        <f t="shared" ref="G349:Q352" si="465">+G133+G42</f>
        <v>0</v>
      </c>
      <c r="H349" s="1302">
        <f t="shared" si="465"/>
        <v>0</v>
      </c>
      <c r="I349" s="1302">
        <f t="shared" si="465"/>
        <v>0</v>
      </c>
      <c r="J349" s="1302">
        <f t="shared" ref="J349:L349" si="466">+J133+J42</f>
        <v>0</v>
      </c>
      <c r="K349" s="1302">
        <f t="shared" si="466"/>
        <v>0</v>
      </c>
      <c r="L349" s="1302">
        <f t="shared" si="466"/>
        <v>0</v>
      </c>
      <c r="M349" s="1302">
        <f t="shared" si="465"/>
        <v>0</v>
      </c>
      <c r="N349" s="1302">
        <f t="shared" si="465"/>
        <v>0</v>
      </c>
      <c r="O349" s="1302">
        <f t="shared" si="465"/>
        <v>0</v>
      </c>
      <c r="P349" s="1302">
        <f t="shared" si="465"/>
        <v>0</v>
      </c>
      <c r="Q349" s="1303">
        <f t="shared" si="465"/>
        <v>0</v>
      </c>
    </row>
    <row r="350" spans="1:17" s="896" customFormat="1" ht="13.5" customHeight="1">
      <c r="A350" s="2602"/>
      <c r="B350" s="2605"/>
      <c r="C350" s="940" t="s">
        <v>2561</v>
      </c>
      <c r="D350" s="940"/>
      <c r="E350" s="941"/>
      <c r="F350" s="911">
        <f t="shared" si="457"/>
        <v>370554083</v>
      </c>
      <c r="G350" s="1302">
        <f t="shared" si="465"/>
        <v>33199287</v>
      </c>
      <c r="H350" s="1302">
        <f t="shared" si="465"/>
        <v>21555646</v>
      </c>
      <c r="I350" s="1302">
        <f t="shared" si="465"/>
        <v>2052481</v>
      </c>
      <c r="J350" s="1302">
        <f t="shared" ref="J350:L350" si="467">+J134+J43</f>
        <v>103212496</v>
      </c>
      <c r="K350" s="1302">
        <f t="shared" si="467"/>
        <v>9791560</v>
      </c>
      <c r="L350" s="1302">
        <f t="shared" si="467"/>
        <v>42674280</v>
      </c>
      <c r="M350" s="1302">
        <f t="shared" si="465"/>
        <v>27426558</v>
      </c>
      <c r="N350" s="1302">
        <f t="shared" si="465"/>
        <v>130641775</v>
      </c>
      <c r="O350" s="1302">
        <f t="shared" si="465"/>
        <v>0</v>
      </c>
      <c r="P350" s="1302">
        <f t="shared" si="465"/>
        <v>0</v>
      </c>
      <c r="Q350" s="1303">
        <f t="shared" si="465"/>
        <v>0</v>
      </c>
    </row>
    <row r="351" spans="1:17" s="896" customFormat="1" ht="13.5" customHeight="1">
      <c r="A351" s="2602"/>
      <c r="B351" s="2605"/>
      <c r="C351" s="940" t="s">
        <v>2562</v>
      </c>
      <c r="D351" s="940"/>
      <c r="E351" s="941"/>
      <c r="F351" s="911">
        <f t="shared" si="457"/>
        <v>25132079</v>
      </c>
      <c r="G351" s="1302">
        <f t="shared" si="465"/>
        <v>4210598</v>
      </c>
      <c r="H351" s="1302">
        <f t="shared" si="465"/>
        <v>763237</v>
      </c>
      <c r="I351" s="1302">
        <f t="shared" si="465"/>
        <v>79180</v>
      </c>
      <c r="J351" s="1302">
        <f t="shared" ref="J351:L351" si="468">+J135+J44</f>
        <v>4716990</v>
      </c>
      <c r="K351" s="1302">
        <f t="shared" si="468"/>
        <v>416603</v>
      </c>
      <c r="L351" s="1302">
        <f t="shared" si="468"/>
        <v>5032681</v>
      </c>
      <c r="M351" s="1302">
        <f t="shared" si="465"/>
        <v>1487376</v>
      </c>
      <c r="N351" s="1302">
        <f t="shared" si="465"/>
        <v>8425414</v>
      </c>
      <c r="O351" s="1302">
        <f t="shared" si="465"/>
        <v>0</v>
      </c>
      <c r="P351" s="1302">
        <f t="shared" si="465"/>
        <v>0</v>
      </c>
      <c r="Q351" s="1303">
        <f t="shared" si="465"/>
        <v>0</v>
      </c>
    </row>
    <row r="352" spans="1:17" s="896" customFormat="1" ht="13.5" customHeight="1">
      <c r="A352" s="2603"/>
      <c r="B352" s="2608"/>
      <c r="C352" s="944" t="s">
        <v>2563</v>
      </c>
      <c r="D352" s="944"/>
      <c r="E352" s="945"/>
      <c r="F352" s="946">
        <f t="shared" si="457"/>
        <v>0</v>
      </c>
      <c r="G352" s="1308">
        <f t="shared" si="465"/>
        <v>0</v>
      </c>
      <c r="H352" s="1308">
        <f t="shared" si="465"/>
        <v>0</v>
      </c>
      <c r="I352" s="1308">
        <f t="shared" si="465"/>
        <v>0</v>
      </c>
      <c r="J352" s="1308">
        <f t="shared" ref="J352:L352" si="469">+J136+J45</f>
        <v>0</v>
      </c>
      <c r="K352" s="1308">
        <f t="shared" si="469"/>
        <v>0</v>
      </c>
      <c r="L352" s="1308">
        <f t="shared" si="469"/>
        <v>0</v>
      </c>
      <c r="M352" s="1308">
        <f t="shared" si="465"/>
        <v>0</v>
      </c>
      <c r="N352" s="1308">
        <f t="shared" si="465"/>
        <v>0</v>
      </c>
      <c r="O352" s="1308">
        <f t="shared" si="465"/>
        <v>0</v>
      </c>
      <c r="P352" s="1308">
        <f t="shared" si="465"/>
        <v>0</v>
      </c>
      <c r="Q352" s="1309">
        <f t="shared" si="465"/>
        <v>0</v>
      </c>
    </row>
    <row r="353" spans="1:17" s="896" customFormat="1" ht="13.5" customHeight="1">
      <c r="A353" s="887"/>
      <c r="B353" s="887"/>
      <c r="C353" s="1099" t="s">
        <v>2632</v>
      </c>
      <c r="D353" s="1099"/>
      <c r="E353" s="923"/>
      <c r="F353" s="1042"/>
      <c r="G353" s="1046"/>
      <c r="H353" s="1046"/>
      <c r="I353" s="1046"/>
      <c r="J353" s="1046"/>
      <c r="K353" s="1046"/>
      <c r="L353" s="1046"/>
      <c r="M353" s="1046"/>
      <c r="N353" s="1046"/>
      <c r="O353" s="1046"/>
      <c r="P353" s="1046"/>
      <c r="Q353" s="1100" t="s">
        <v>2723</v>
      </c>
    </row>
    <row r="354" spans="1:17" s="896" customFormat="1" ht="13.5" customHeight="1">
      <c r="A354" s="887"/>
      <c r="B354" s="887"/>
      <c r="C354" s="930" t="s">
        <v>2634</v>
      </c>
      <c r="D354" s="930"/>
      <c r="E354" s="923"/>
      <c r="F354" s="1042"/>
      <c r="G354" s="1046"/>
      <c r="H354" s="1046"/>
      <c r="I354" s="1046"/>
      <c r="J354" s="1046"/>
      <c r="K354" s="1046"/>
      <c r="L354" s="1046"/>
      <c r="M354" s="1046"/>
      <c r="N354" s="1046"/>
      <c r="O354" s="1046"/>
      <c r="P354" s="1046"/>
      <c r="Q354" s="1100"/>
    </row>
    <row r="355" spans="1:17" s="896" customFormat="1" ht="13.5" customHeight="1">
      <c r="A355" s="877"/>
      <c r="B355" s="878"/>
      <c r="C355" s="878"/>
      <c r="D355" s="2616" t="s">
        <v>2635</v>
      </c>
      <c r="E355" s="2616" t="s">
        <v>2636</v>
      </c>
      <c r="F355" s="1092" t="s">
        <v>2517</v>
      </c>
      <c r="G355" s="1304" t="str">
        <f>+G302</f>
        <v>可動式ホーム柵設置に伴う建築工事</v>
      </c>
      <c r="H355" s="1093" t="str">
        <f t="shared" ref="H355:Q355" si="470">+H302</f>
        <v>隙間解消工事</v>
      </c>
      <c r="I355" s="1093" t="str">
        <f t="shared" si="470"/>
        <v>列車停止位置変更に伴う建築工事</v>
      </c>
      <c r="J355" s="1093" t="str">
        <f t="shared" ref="J355:L355" si="471">+J302</f>
        <v>床仕上改造その他工事</v>
      </c>
      <c r="K355" s="1093" t="str">
        <f t="shared" si="471"/>
        <v>整列乗車対策工事</v>
      </c>
      <c r="L355" s="1093" t="str">
        <f t="shared" si="471"/>
        <v>可動式ホーム柵設置に伴う建築工事</v>
      </c>
      <c r="M355" s="1093" t="str">
        <f t="shared" si="470"/>
        <v>隙間解消工事</v>
      </c>
      <c r="N355" s="1093" t="str">
        <f t="shared" si="470"/>
        <v>床仕上改造その他工事</v>
      </c>
      <c r="O355" s="1093">
        <f t="shared" si="470"/>
        <v>0</v>
      </c>
      <c r="P355" s="1093">
        <f t="shared" si="470"/>
        <v>0</v>
      </c>
      <c r="Q355" s="1094">
        <f t="shared" si="470"/>
        <v>0</v>
      </c>
    </row>
    <row r="356" spans="1:17" s="896" customFormat="1" ht="13.5" customHeight="1">
      <c r="A356" s="2618" t="s">
        <v>2637</v>
      </c>
      <c r="B356" s="2619"/>
      <c r="C356" s="2620"/>
      <c r="D356" s="2617"/>
      <c r="E356" s="2617"/>
      <c r="F356" s="1101"/>
      <c r="G356" s="1102"/>
      <c r="H356" s="1102"/>
      <c r="I356" s="1102"/>
      <c r="J356" s="1102"/>
      <c r="K356" s="1102"/>
      <c r="L356" s="1102"/>
      <c r="M356" s="1102"/>
      <c r="N356" s="1102"/>
      <c r="O356" s="1102"/>
      <c r="P356" s="1102"/>
      <c r="Q356" s="1103"/>
    </row>
    <row r="357" spans="1:17" s="896" customFormat="1" ht="13.5" customHeight="1">
      <c r="A357" s="2621"/>
      <c r="B357" s="1104" t="s">
        <v>2724</v>
      </c>
      <c r="C357" s="1105"/>
      <c r="D357" s="1106"/>
      <c r="E357" s="1107"/>
      <c r="F357" s="1108">
        <f t="shared" ref="F357:F364" si="472">SUM(G357:Q357)</f>
        <v>0</v>
      </c>
      <c r="G357" s="1109">
        <f>SUM(G333:G345)+G349</f>
        <v>0</v>
      </c>
      <c r="H357" s="1109">
        <f t="shared" ref="H357:Q357" si="473">SUM(H333:H345)+H349</f>
        <v>0</v>
      </c>
      <c r="I357" s="1109">
        <f t="shared" si="473"/>
        <v>0</v>
      </c>
      <c r="J357" s="1109">
        <f t="shared" ref="J357:L357" si="474">SUM(J333:J345)+J349</f>
        <v>0</v>
      </c>
      <c r="K357" s="1109">
        <f t="shared" si="474"/>
        <v>0</v>
      </c>
      <c r="L357" s="1109">
        <f t="shared" si="474"/>
        <v>0</v>
      </c>
      <c r="M357" s="1109">
        <f t="shared" si="473"/>
        <v>0</v>
      </c>
      <c r="N357" s="1109">
        <f t="shared" si="473"/>
        <v>0</v>
      </c>
      <c r="O357" s="1109">
        <f t="shared" si="473"/>
        <v>0</v>
      </c>
      <c r="P357" s="1109">
        <f t="shared" si="473"/>
        <v>0</v>
      </c>
      <c r="Q357" s="1109">
        <f t="shared" si="473"/>
        <v>0</v>
      </c>
    </row>
    <row r="358" spans="1:17" s="896" customFormat="1" ht="13.5" customHeight="1">
      <c r="A358" s="2622"/>
      <c r="B358" s="2607" t="s">
        <v>2541</v>
      </c>
      <c r="C358" s="1110" t="s">
        <v>2542</v>
      </c>
      <c r="D358" s="1111">
        <v>1</v>
      </c>
      <c r="E358" s="1112" t="s">
        <v>2639</v>
      </c>
      <c r="F358" s="911">
        <f t="shared" si="472"/>
        <v>0</v>
      </c>
      <c r="G358" s="912">
        <f t="shared" ref="G358:Q358" si="475">IF(G304="積上げ",0,+G333)</f>
        <v>0</v>
      </c>
      <c r="H358" s="912">
        <f t="shared" si="475"/>
        <v>0</v>
      </c>
      <c r="I358" s="912">
        <f t="shared" si="475"/>
        <v>0</v>
      </c>
      <c r="J358" s="912">
        <f t="shared" ref="J358:L358" si="476">IF(J304="積上げ",0,+J333)</f>
        <v>0</v>
      </c>
      <c r="K358" s="912">
        <f t="shared" si="476"/>
        <v>0</v>
      </c>
      <c r="L358" s="912">
        <f t="shared" si="476"/>
        <v>0</v>
      </c>
      <c r="M358" s="912">
        <f t="shared" si="475"/>
        <v>0</v>
      </c>
      <c r="N358" s="912">
        <f t="shared" si="475"/>
        <v>0</v>
      </c>
      <c r="O358" s="912">
        <f t="shared" si="475"/>
        <v>0</v>
      </c>
      <c r="P358" s="912">
        <f t="shared" si="475"/>
        <v>0</v>
      </c>
      <c r="Q358" s="912">
        <f t="shared" si="475"/>
        <v>0</v>
      </c>
    </row>
    <row r="359" spans="1:17" s="896" customFormat="1" ht="13.5" customHeight="1">
      <c r="A359" s="2622"/>
      <c r="B359" s="2605"/>
      <c r="C359" s="1110" t="s">
        <v>2543</v>
      </c>
      <c r="D359" s="1111">
        <v>1</v>
      </c>
      <c r="E359" s="1112" t="s">
        <v>2639</v>
      </c>
      <c r="F359" s="911">
        <f t="shared" si="472"/>
        <v>0</v>
      </c>
      <c r="G359" s="912">
        <f t="shared" ref="G359:Q359" si="477">IF(G304="積上げ",0,+G334)</f>
        <v>0</v>
      </c>
      <c r="H359" s="912">
        <f t="shared" si="477"/>
        <v>0</v>
      </c>
      <c r="I359" s="912">
        <f t="shared" si="477"/>
        <v>0</v>
      </c>
      <c r="J359" s="912">
        <f t="shared" ref="J359:L359" si="478">IF(J304="積上げ",0,+J334)</f>
        <v>0</v>
      </c>
      <c r="K359" s="912">
        <f t="shared" si="478"/>
        <v>0</v>
      </c>
      <c r="L359" s="912">
        <f t="shared" si="478"/>
        <v>0</v>
      </c>
      <c r="M359" s="912">
        <f t="shared" si="477"/>
        <v>0</v>
      </c>
      <c r="N359" s="912">
        <f t="shared" si="477"/>
        <v>0</v>
      </c>
      <c r="O359" s="912">
        <f t="shared" si="477"/>
        <v>0</v>
      </c>
      <c r="P359" s="912">
        <f t="shared" si="477"/>
        <v>0</v>
      </c>
      <c r="Q359" s="912">
        <f t="shared" si="477"/>
        <v>0</v>
      </c>
    </row>
    <row r="360" spans="1:17" s="896" customFormat="1" ht="14">
      <c r="A360" s="2622"/>
      <c r="B360" s="2605"/>
      <c r="C360" s="1110" t="s">
        <v>2640</v>
      </c>
      <c r="D360" s="1111">
        <v>0.9</v>
      </c>
      <c r="E360" s="1112" t="s">
        <v>2639</v>
      </c>
      <c r="F360" s="911">
        <f t="shared" si="472"/>
        <v>0</v>
      </c>
      <c r="G360" s="912">
        <f t="shared" ref="G360:Q360" si="479">IF(G304="積上げ",0,+G335)</f>
        <v>0</v>
      </c>
      <c r="H360" s="912">
        <f t="shared" si="479"/>
        <v>0</v>
      </c>
      <c r="I360" s="912">
        <f t="shared" si="479"/>
        <v>0</v>
      </c>
      <c r="J360" s="912">
        <f t="shared" ref="J360:L360" si="480">IF(J304="積上げ",0,+J335)</f>
        <v>0</v>
      </c>
      <c r="K360" s="912">
        <f t="shared" si="480"/>
        <v>0</v>
      </c>
      <c r="L360" s="912">
        <f t="shared" si="480"/>
        <v>0</v>
      </c>
      <c r="M360" s="912">
        <f t="shared" si="479"/>
        <v>0</v>
      </c>
      <c r="N360" s="912">
        <f t="shared" si="479"/>
        <v>0</v>
      </c>
      <c r="O360" s="912">
        <f t="shared" si="479"/>
        <v>0</v>
      </c>
      <c r="P360" s="912">
        <f t="shared" si="479"/>
        <v>0</v>
      </c>
      <c r="Q360" s="912">
        <f t="shared" si="479"/>
        <v>0</v>
      </c>
    </row>
    <row r="361" spans="1:17" s="896" customFormat="1" ht="14">
      <c r="A361" s="2622"/>
      <c r="B361" s="2606"/>
      <c r="C361" s="1110" t="s">
        <v>2641</v>
      </c>
      <c r="D361" s="1111">
        <v>0.9</v>
      </c>
      <c r="E361" s="1112" t="s">
        <v>2639</v>
      </c>
      <c r="F361" s="911">
        <f t="shared" si="472"/>
        <v>0</v>
      </c>
      <c r="G361" s="912">
        <f t="shared" ref="G361:Q361" si="481">IF(G304="積上げ",0,+G336)</f>
        <v>0</v>
      </c>
      <c r="H361" s="912">
        <f t="shared" si="481"/>
        <v>0</v>
      </c>
      <c r="I361" s="912">
        <f t="shared" si="481"/>
        <v>0</v>
      </c>
      <c r="J361" s="912">
        <f t="shared" ref="J361:L361" si="482">IF(J304="積上げ",0,+J336)</f>
        <v>0</v>
      </c>
      <c r="K361" s="912">
        <f t="shared" si="482"/>
        <v>0</v>
      </c>
      <c r="L361" s="912">
        <f t="shared" si="482"/>
        <v>0</v>
      </c>
      <c r="M361" s="912">
        <f t="shared" si="481"/>
        <v>0</v>
      </c>
      <c r="N361" s="912">
        <f t="shared" si="481"/>
        <v>0</v>
      </c>
      <c r="O361" s="912">
        <f t="shared" si="481"/>
        <v>0</v>
      </c>
      <c r="P361" s="912">
        <f t="shared" si="481"/>
        <v>0</v>
      </c>
      <c r="Q361" s="912">
        <f t="shared" si="481"/>
        <v>0</v>
      </c>
    </row>
    <row r="362" spans="1:17" s="896" customFormat="1" ht="14">
      <c r="A362" s="2622"/>
      <c r="B362" s="2607" t="s">
        <v>2546</v>
      </c>
      <c r="C362" s="1110" t="s">
        <v>2642</v>
      </c>
      <c r="D362" s="1111">
        <v>1</v>
      </c>
      <c r="E362" s="1113">
        <v>0.01</v>
      </c>
      <c r="F362" s="911">
        <f t="shared" si="472"/>
        <v>0</v>
      </c>
      <c r="G362" s="912">
        <f t="shared" ref="G362:Q362" si="483">IF(G304="積上げ",0,+G337)</f>
        <v>0</v>
      </c>
      <c r="H362" s="912">
        <f t="shared" si="483"/>
        <v>0</v>
      </c>
      <c r="I362" s="912">
        <f t="shared" si="483"/>
        <v>0</v>
      </c>
      <c r="J362" s="912">
        <f t="shared" ref="J362:L362" si="484">IF(J304="積上げ",0,+J337)</f>
        <v>0</v>
      </c>
      <c r="K362" s="912">
        <f t="shared" si="484"/>
        <v>0</v>
      </c>
      <c r="L362" s="912">
        <f t="shared" si="484"/>
        <v>0</v>
      </c>
      <c r="M362" s="912">
        <f t="shared" si="483"/>
        <v>0</v>
      </c>
      <c r="N362" s="912">
        <f t="shared" si="483"/>
        <v>0</v>
      </c>
      <c r="O362" s="912">
        <f t="shared" si="483"/>
        <v>0</v>
      </c>
      <c r="P362" s="912">
        <f t="shared" si="483"/>
        <v>0</v>
      </c>
      <c r="Q362" s="912">
        <f t="shared" si="483"/>
        <v>0</v>
      </c>
    </row>
    <row r="363" spans="1:17" s="896" customFormat="1" ht="14">
      <c r="A363" s="2622"/>
      <c r="B363" s="2605"/>
      <c r="C363" s="1110" t="s">
        <v>2643</v>
      </c>
      <c r="D363" s="1111">
        <v>1</v>
      </c>
      <c r="E363" s="1113">
        <v>0.01</v>
      </c>
      <c r="F363" s="911">
        <f t="shared" si="472"/>
        <v>0</v>
      </c>
      <c r="G363" s="912">
        <f t="shared" ref="G363:Q363" si="485">IF(G304="積上げ",0,G338)</f>
        <v>0</v>
      </c>
      <c r="H363" s="912">
        <f t="shared" si="485"/>
        <v>0</v>
      </c>
      <c r="I363" s="912">
        <f t="shared" si="485"/>
        <v>0</v>
      </c>
      <c r="J363" s="912">
        <f t="shared" ref="J363:L363" si="486">IF(J304="積上げ",0,J338)</f>
        <v>0</v>
      </c>
      <c r="K363" s="912">
        <f t="shared" si="486"/>
        <v>0</v>
      </c>
      <c r="L363" s="912">
        <f t="shared" si="486"/>
        <v>0</v>
      </c>
      <c r="M363" s="912">
        <f t="shared" si="485"/>
        <v>0</v>
      </c>
      <c r="N363" s="912">
        <f t="shared" si="485"/>
        <v>0</v>
      </c>
      <c r="O363" s="912">
        <f t="shared" si="485"/>
        <v>0</v>
      </c>
      <c r="P363" s="912">
        <f t="shared" si="485"/>
        <v>0</v>
      </c>
      <c r="Q363" s="912">
        <f t="shared" si="485"/>
        <v>0</v>
      </c>
    </row>
    <row r="364" spans="1:17" s="896" customFormat="1" ht="14">
      <c r="A364" s="2622"/>
      <c r="B364" s="2605"/>
      <c r="C364" s="1110" t="s">
        <v>2549</v>
      </c>
      <c r="D364" s="1111">
        <v>1</v>
      </c>
      <c r="E364" s="1113">
        <v>0.01</v>
      </c>
      <c r="F364" s="911">
        <f t="shared" si="472"/>
        <v>0</v>
      </c>
      <c r="G364" s="912">
        <f t="shared" ref="G364:Q364" si="487">IF(G304="積上げ",0,G339)</f>
        <v>0</v>
      </c>
      <c r="H364" s="912">
        <f t="shared" si="487"/>
        <v>0</v>
      </c>
      <c r="I364" s="912">
        <f t="shared" si="487"/>
        <v>0</v>
      </c>
      <c r="J364" s="912">
        <f t="shared" ref="J364:L364" si="488">IF(J304="積上げ",0,J339)</f>
        <v>0</v>
      </c>
      <c r="K364" s="912">
        <f t="shared" si="488"/>
        <v>0</v>
      </c>
      <c r="L364" s="912">
        <f t="shared" si="488"/>
        <v>0</v>
      </c>
      <c r="M364" s="912">
        <f t="shared" si="487"/>
        <v>0</v>
      </c>
      <c r="N364" s="912">
        <f t="shared" si="487"/>
        <v>0</v>
      </c>
      <c r="O364" s="912">
        <f t="shared" si="487"/>
        <v>0</v>
      </c>
      <c r="P364" s="912">
        <f t="shared" si="487"/>
        <v>0</v>
      </c>
      <c r="Q364" s="912">
        <f t="shared" si="487"/>
        <v>0</v>
      </c>
    </row>
    <row r="365" spans="1:17" s="896" customFormat="1" ht="14">
      <c r="A365" s="2622"/>
      <c r="B365" s="2605"/>
      <c r="C365" s="1110" t="s">
        <v>2629</v>
      </c>
      <c r="D365" s="1111"/>
      <c r="E365" s="1113"/>
      <c r="F365" s="911"/>
      <c r="G365" s="912"/>
      <c r="H365" s="912"/>
      <c r="I365" s="912"/>
      <c r="J365" s="912"/>
      <c r="K365" s="912"/>
      <c r="L365" s="912"/>
      <c r="M365" s="912"/>
      <c r="N365" s="912"/>
      <c r="O365" s="912"/>
      <c r="P365" s="912"/>
      <c r="Q365" s="912"/>
    </row>
    <row r="366" spans="1:17" s="896" customFormat="1" ht="14">
      <c r="A366" s="2622"/>
      <c r="B366" s="2605"/>
      <c r="C366" s="1110" t="s">
        <v>2551</v>
      </c>
      <c r="D366" s="1111"/>
      <c r="E366" s="1113"/>
      <c r="F366" s="911"/>
      <c r="G366" s="912"/>
      <c r="H366" s="912"/>
      <c r="I366" s="912"/>
      <c r="J366" s="912"/>
      <c r="K366" s="912"/>
      <c r="L366" s="912"/>
      <c r="M366" s="912"/>
      <c r="N366" s="912"/>
      <c r="O366" s="912"/>
      <c r="P366" s="912"/>
      <c r="Q366" s="912"/>
    </row>
    <row r="367" spans="1:17" s="896" customFormat="1" ht="14">
      <c r="A367" s="2622"/>
      <c r="B367" s="2605"/>
      <c r="C367" s="1110" t="s">
        <v>2552</v>
      </c>
      <c r="D367" s="1111">
        <v>1</v>
      </c>
      <c r="E367" s="1113">
        <v>0.01</v>
      </c>
      <c r="F367" s="911">
        <f>SUM(G367:Q367)</f>
        <v>0</v>
      </c>
      <c r="G367" s="912">
        <f t="shared" ref="G367:Q367" si="489">IF(G304="積上げ",0,+G342)</f>
        <v>0</v>
      </c>
      <c r="H367" s="912">
        <f t="shared" si="489"/>
        <v>0</v>
      </c>
      <c r="I367" s="912">
        <f t="shared" si="489"/>
        <v>0</v>
      </c>
      <c r="J367" s="912">
        <f t="shared" ref="J367:L367" si="490">IF(J304="積上げ",0,+J342)</f>
        <v>0</v>
      </c>
      <c r="K367" s="912">
        <f t="shared" si="490"/>
        <v>0</v>
      </c>
      <c r="L367" s="912">
        <f t="shared" si="490"/>
        <v>0</v>
      </c>
      <c r="M367" s="912">
        <f t="shared" si="489"/>
        <v>0</v>
      </c>
      <c r="N367" s="912">
        <f t="shared" si="489"/>
        <v>0</v>
      </c>
      <c r="O367" s="912">
        <f t="shared" si="489"/>
        <v>0</v>
      </c>
      <c r="P367" s="912">
        <f t="shared" si="489"/>
        <v>0</v>
      </c>
      <c r="Q367" s="912">
        <f t="shared" si="489"/>
        <v>0</v>
      </c>
    </row>
    <row r="368" spans="1:17" s="896" customFormat="1" ht="14">
      <c r="A368" s="2622"/>
      <c r="B368" s="2605"/>
      <c r="C368" s="1114" t="s">
        <v>2630</v>
      </c>
      <c r="D368" s="1111">
        <v>1</v>
      </c>
      <c r="E368" s="1113">
        <v>0.01</v>
      </c>
      <c r="F368" s="911">
        <f>SUM(G368:Q368)</f>
        <v>0</v>
      </c>
      <c r="G368" s="912">
        <f t="shared" ref="G368:Q368" si="491">IF(G304="積上げ",0,+G343)</f>
        <v>0</v>
      </c>
      <c r="H368" s="912">
        <f t="shared" si="491"/>
        <v>0</v>
      </c>
      <c r="I368" s="912">
        <f t="shared" si="491"/>
        <v>0</v>
      </c>
      <c r="J368" s="912">
        <f t="shared" ref="J368:L368" si="492">IF(J304="積上げ",0,+J343)</f>
        <v>0</v>
      </c>
      <c r="K368" s="912">
        <f t="shared" si="492"/>
        <v>0</v>
      </c>
      <c r="L368" s="912">
        <f t="shared" si="492"/>
        <v>0</v>
      </c>
      <c r="M368" s="912">
        <f t="shared" si="491"/>
        <v>0</v>
      </c>
      <c r="N368" s="912">
        <f t="shared" si="491"/>
        <v>0</v>
      </c>
      <c r="O368" s="912">
        <f t="shared" si="491"/>
        <v>0</v>
      </c>
      <c r="P368" s="912">
        <f t="shared" si="491"/>
        <v>0</v>
      </c>
      <c r="Q368" s="912">
        <f t="shared" si="491"/>
        <v>0</v>
      </c>
    </row>
    <row r="369" spans="1:17" s="896" customFormat="1" ht="14">
      <c r="A369" s="2622"/>
      <c r="B369" s="2605"/>
      <c r="C369" s="1114" t="s">
        <v>2631</v>
      </c>
      <c r="D369" s="1111">
        <v>1</v>
      </c>
      <c r="E369" s="1113">
        <v>0.01</v>
      </c>
      <c r="F369" s="911">
        <f>SUM(G369:Q369)</f>
        <v>0</v>
      </c>
      <c r="G369" s="912">
        <f t="shared" ref="G369:Q369" si="493">IF(G304="積上げ",0,+G344)</f>
        <v>0</v>
      </c>
      <c r="H369" s="912">
        <f t="shared" si="493"/>
        <v>0</v>
      </c>
      <c r="I369" s="912">
        <f t="shared" si="493"/>
        <v>0</v>
      </c>
      <c r="J369" s="912">
        <f t="shared" ref="J369:L369" si="494">IF(J304="積上げ",0,+J344)</f>
        <v>0</v>
      </c>
      <c r="K369" s="912">
        <f t="shared" si="494"/>
        <v>0</v>
      </c>
      <c r="L369" s="912">
        <f t="shared" si="494"/>
        <v>0</v>
      </c>
      <c r="M369" s="912">
        <f t="shared" si="493"/>
        <v>0</v>
      </c>
      <c r="N369" s="912">
        <f t="shared" si="493"/>
        <v>0</v>
      </c>
      <c r="O369" s="912">
        <f t="shared" si="493"/>
        <v>0</v>
      </c>
      <c r="P369" s="912">
        <f t="shared" si="493"/>
        <v>0</v>
      </c>
      <c r="Q369" s="912">
        <f t="shared" si="493"/>
        <v>0</v>
      </c>
    </row>
    <row r="370" spans="1:17" s="896" customFormat="1" ht="14">
      <c r="A370" s="2622"/>
      <c r="B370" s="2606"/>
      <c r="C370" s="1110" t="s">
        <v>2555</v>
      </c>
      <c r="D370" s="1111">
        <v>1</v>
      </c>
      <c r="E370" s="1113">
        <v>0.01</v>
      </c>
      <c r="F370" s="911">
        <f>SUM(G370:Q370)</f>
        <v>0</v>
      </c>
      <c r="G370" s="912">
        <f t="shared" ref="G370:Q370" si="495">IF(G304="積上げ",0,+G345)</f>
        <v>0</v>
      </c>
      <c r="H370" s="912">
        <f t="shared" si="495"/>
        <v>0</v>
      </c>
      <c r="I370" s="912">
        <f t="shared" si="495"/>
        <v>0</v>
      </c>
      <c r="J370" s="912">
        <f t="shared" ref="J370:L370" si="496">IF(J304="積上げ",0,+J345)</f>
        <v>0</v>
      </c>
      <c r="K370" s="912">
        <f t="shared" si="496"/>
        <v>0</v>
      </c>
      <c r="L370" s="912">
        <f t="shared" si="496"/>
        <v>0</v>
      </c>
      <c r="M370" s="912">
        <f t="shared" si="495"/>
        <v>0</v>
      </c>
      <c r="N370" s="912">
        <f t="shared" si="495"/>
        <v>0</v>
      </c>
      <c r="O370" s="912">
        <f t="shared" si="495"/>
        <v>0</v>
      </c>
      <c r="P370" s="912">
        <f t="shared" si="495"/>
        <v>0</v>
      </c>
      <c r="Q370" s="912">
        <f t="shared" si="495"/>
        <v>0</v>
      </c>
    </row>
    <row r="371" spans="1:17" s="896" customFormat="1" ht="14">
      <c r="A371" s="2623"/>
      <c r="B371" s="1115" t="s">
        <v>2644</v>
      </c>
      <c r="C371" s="1141" t="s">
        <v>2725</v>
      </c>
      <c r="D371" s="1117">
        <v>1</v>
      </c>
      <c r="E371" s="1118">
        <v>0</v>
      </c>
      <c r="F371" s="946">
        <f>SUM(G371:Q371)</f>
        <v>395686162</v>
      </c>
      <c r="G371" s="1073">
        <f>IF(G304="積上げ",0,SUM(G349:G352)+G346)</f>
        <v>37409885</v>
      </c>
      <c r="H371" s="1073">
        <f t="shared" ref="H371:Q371" si="497">IF(H304="積上げ",0,SUM(H349:H352)+H346)</f>
        <v>22318883</v>
      </c>
      <c r="I371" s="1073">
        <f t="shared" si="497"/>
        <v>2131661</v>
      </c>
      <c r="J371" s="1073">
        <f t="shared" ref="J371:L371" si="498">IF(J304="積上げ",0,SUM(J349:J352)+J346)</f>
        <v>107929486</v>
      </c>
      <c r="K371" s="1073">
        <f t="shared" si="498"/>
        <v>10208163</v>
      </c>
      <c r="L371" s="1073">
        <f t="shared" si="498"/>
        <v>47706961</v>
      </c>
      <c r="M371" s="1073">
        <f t="shared" si="497"/>
        <v>28913934</v>
      </c>
      <c r="N371" s="1073">
        <f t="shared" si="497"/>
        <v>139067189</v>
      </c>
      <c r="O371" s="1073">
        <f t="shared" si="497"/>
        <v>0</v>
      </c>
      <c r="P371" s="1073">
        <f t="shared" si="497"/>
        <v>0</v>
      </c>
      <c r="Q371" s="1073">
        <f t="shared" si="497"/>
        <v>0</v>
      </c>
    </row>
    <row r="372" spans="1:17" s="896" customFormat="1" ht="14">
      <c r="A372" s="1119"/>
      <c r="B372" s="1120"/>
      <c r="C372" s="1121"/>
      <c r="D372" s="2624"/>
      <c r="E372" s="2624"/>
      <c r="F372" s="1108"/>
      <c r="G372" s="1109"/>
      <c r="H372" s="1109"/>
      <c r="I372" s="1109"/>
      <c r="J372" s="1109"/>
      <c r="K372" s="1109"/>
      <c r="L372" s="1109"/>
      <c r="M372" s="1109"/>
      <c r="N372" s="1109"/>
      <c r="O372" s="1109"/>
      <c r="P372" s="1109"/>
      <c r="Q372" s="1122"/>
    </row>
    <row r="373" spans="1:17" s="896" customFormat="1" ht="14">
      <c r="A373" s="2618" t="s">
        <v>2646</v>
      </c>
      <c r="B373" s="2619"/>
      <c r="C373" s="2620"/>
      <c r="D373" s="2625"/>
      <c r="E373" s="2625"/>
      <c r="F373" s="1101"/>
      <c r="G373" s="1102"/>
      <c r="H373" s="1102"/>
      <c r="I373" s="1102"/>
      <c r="J373" s="1102"/>
      <c r="K373" s="1102"/>
      <c r="L373" s="1102"/>
      <c r="M373" s="1102"/>
      <c r="N373" s="1102"/>
      <c r="O373" s="1102"/>
      <c r="P373" s="1102"/>
      <c r="Q373" s="1103"/>
    </row>
    <row r="374" spans="1:17" s="896" customFormat="1" ht="14">
      <c r="A374" s="2621"/>
      <c r="B374" s="2604" t="s">
        <v>2541</v>
      </c>
      <c r="C374" s="1123" t="s">
        <v>2542</v>
      </c>
      <c r="D374" s="1124"/>
      <c r="E374" s="1125" t="s">
        <v>2639</v>
      </c>
      <c r="F374" s="1126" t="s">
        <v>2647</v>
      </c>
      <c r="G374" s="1127">
        <f t="shared" ref="G374:Q374" si="499">IF(G358=0,0,IF(G306="有り",+G479/100,G480/100))</f>
        <v>0</v>
      </c>
      <c r="H374" s="1127">
        <f t="shared" si="499"/>
        <v>0</v>
      </c>
      <c r="I374" s="1127">
        <f t="shared" si="499"/>
        <v>0</v>
      </c>
      <c r="J374" s="1127">
        <f t="shared" ref="J374:L374" si="500">IF(J358=0,0,IF(J306="有り",+J479/100,J480/100))</f>
        <v>0</v>
      </c>
      <c r="K374" s="1127">
        <f t="shared" si="500"/>
        <v>0</v>
      </c>
      <c r="L374" s="1127">
        <f t="shared" si="500"/>
        <v>0</v>
      </c>
      <c r="M374" s="1127">
        <f t="shared" si="499"/>
        <v>0</v>
      </c>
      <c r="N374" s="1127">
        <f t="shared" si="499"/>
        <v>0</v>
      </c>
      <c r="O374" s="1127">
        <f t="shared" si="499"/>
        <v>0</v>
      </c>
      <c r="P374" s="1127">
        <f t="shared" si="499"/>
        <v>0</v>
      </c>
      <c r="Q374" s="1128">
        <f t="shared" si="499"/>
        <v>0</v>
      </c>
    </row>
    <row r="375" spans="1:17" s="896" customFormat="1" ht="14">
      <c r="A375" s="2622"/>
      <c r="B375" s="2605"/>
      <c r="C375" s="1129"/>
      <c r="D375" s="1130">
        <f>+D358</f>
        <v>1</v>
      </c>
      <c r="E375" s="1131" t="s">
        <v>2639</v>
      </c>
      <c r="F375" s="1064">
        <f>SUM(G375:Q375)</f>
        <v>0</v>
      </c>
      <c r="G375" s="1080">
        <f t="shared" ref="G375:Q375" si="501">ROUNDDOWN(G358*G374*$D375,0)</f>
        <v>0</v>
      </c>
      <c r="H375" s="1080">
        <f t="shared" si="501"/>
        <v>0</v>
      </c>
      <c r="I375" s="1080">
        <f t="shared" si="501"/>
        <v>0</v>
      </c>
      <c r="J375" s="1080">
        <f t="shared" ref="J375:L375" si="502">ROUNDDOWN(J358*J374*$D375,0)</f>
        <v>0</v>
      </c>
      <c r="K375" s="1080">
        <f t="shared" si="502"/>
        <v>0</v>
      </c>
      <c r="L375" s="1080">
        <f t="shared" si="502"/>
        <v>0</v>
      </c>
      <c r="M375" s="1080">
        <f t="shared" si="501"/>
        <v>0</v>
      </c>
      <c r="N375" s="1080">
        <f t="shared" si="501"/>
        <v>0</v>
      </c>
      <c r="O375" s="1080">
        <f t="shared" si="501"/>
        <v>0</v>
      </c>
      <c r="P375" s="1080">
        <f t="shared" si="501"/>
        <v>0</v>
      </c>
      <c r="Q375" s="1081">
        <f t="shared" si="501"/>
        <v>0</v>
      </c>
    </row>
    <row r="376" spans="1:17" s="896" customFormat="1" ht="14">
      <c r="A376" s="2622"/>
      <c r="B376" s="2605"/>
      <c r="C376" s="1132" t="s">
        <v>2543</v>
      </c>
      <c r="D376" s="1133"/>
      <c r="E376" s="1131" t="s">
        <v>2639</v>
      </c>
      <c r="F376" s="1134" t="s">
        <v>2647</v>
      </c>
      <c r="G376" s="1135">
        <f t="shared" ref="G376:Q376" si="503">IF(G359=0,0,IF(G306="有り",G488/100,+G489/100))</f>
        <v>0</v>
      </c>
      <c r="H376" s="1135">
        <f t="shared" si="503"/>
        <v>0</v>
      </c>
      <c r="I376" s="1135">
        <f t="shared" si="503"/>
        <v>0</v>
      </c>
      <c r="J376" s="1135">
        <f t="shared" ref="J376:L376" si="504">IF(J359=0,0,IF(J306="有り",J488/100,+J489/100))</f>
        <v>0</v>
      </c>
      <c r="K376" s="1135">
        <f t="shared" si="504"/>
        <v>0</v>
      </c>
      <c r="L376" s="1135">
        <f t="shared" si="504"/>
        <v>0</v>
      </c>
      <c r="M376" s="1135">
        <f t="shared" si="503"/>
        <v>0</v>
      </c>
      <c r="N376" s="1135">
        <f t="shared" si="503"/>
        <v>0</v>
      </c>
      <c r="O376" s="1135">
        <f t="shared" si="503"/>
        <v>0</v>
      </c>
      <c r="P376" s="1135">
        <f t="shared" si="503"/>
        <v>0</v>
      </c>
      <c r="Q376" s="1136">
        <f t="shared" si="503"/>
        <v>0</v>
      </c>
    </row>
    <row r="377" spans="1:17" s="896" customFormat="1" ht="14">
      <c r="A377" s="2622"/>
      <c r="B377" s="2605"/>
      <c r="C377" s="1129"/>
      <c r="D377" s="1137">
        <f t="shared" ref="D377:D382" si="505">+D359</f>
        <v>1</v>
      </c>
      <c r="E377" s="1131" t="s">
        <v>2639</v>
      </c>
      <c r="F377" s="1064">
        <f>SUM(G377:Q377)</f>
        <v>0</v>
      </c>
      <c r="G377" s="1080">
        <f t="shared" ref="G377:Q377" si="506">ROUNDDOWN(G359*G376*$D377,0)</f>
        <v>0</v>
      </c>
      <c r="H377" s="1080">
        <f t="shared" si="506"/>
        <v>0</v>
      </c>
      <c r="I377" s="1080">
        <f t="shared" si="506"/>
        <v>0</v>
      </c>
      <c r="J377" s="1080">
        <f t="shared" ref="J377:L377" si="507">ROUNDDOWN(J359*J376*$D377,0)</f>
        <v>0</v>
      </c>
      <c r="K377" s="1080">
        <f t="shared" si="507"/>
        <v>0</v>
      </c>
      <c r="L377" s="1080">
        <f t="shared" si="507"/>
        <v>0</v>
      </c>
      <c r="M377" s="1080">
        <f t="shared" si="506"/>
        <v>0</v>
      </c>
      <c r="N377" s="1080">
        <f t="shared" si="506"/>
        <v>0</v>
      </c>
      <c r="O377" s="1080">
        <f t="shared" si="506"/>
        <v>0</v>
      </c>
      <c r="P377" s="1080">
        <f t="shared" si="506"/>
        <v>0</v>
      </c>
      <c r="Q377" s="1081">
        <f t="shared" si="506"/>
        <v>0</v>
      </c>
    </row>
    <row r="378" spans="1:17" s="896" customFormat="1" ht="14">
      <c r="A378" s="2622"/>
      <c r="B378" s="2605"/>
      <c r="C378" s="1110" t="s">
        <v>2565</v>
      </c>
      <c r="D378" s="1138">
        <v>0.9</v>
      </c>
      <c r="E378" s="1131" t="s">
        <v>2639</v>
      </c>
      <c r="F378" s="1064">
        <f>SUM(G378:Q378)</f>
        <v>0</v>
      </c>
      <c r="G378" s="1080">
        <f t="shared" ref="G378:Q378" si="508">ROUNDDOWN(G360*G374*$D378,0)</f>
        <v>0</v>
      </c>
      <c r="H378" s="1080">
        <f t="shared" si="508"/>
        <v>0</v>
      </c>
      <c r="I378" s="1080">
        <f t="shared" si="508"/>
        <v>0</v>
      </c>
      <c r="J378" s="1080">
        <f t="shared" ref="J378:L378" si="509">ROUNDDOWN(J360*J374*$D378,0)</f>
        <v>0</v>
      </c>
      <c r="K378" s="1080">
        <f t="shared" si="509"/>
        <v>0</v>
      </c>
      <c r="L378" s="1080">
        <f t="shared" si="509"/>
        <v>0</v>
      </c>
      <c r="M378" s="1080">
        <f t="shared" si="508"/>
        <v>0</v>
      </c>
      <c r="N378" s="1080">
        <f t="shared" si="508"/>
        <v>0</v>
      </c>
      <c r="O378" s="1080">
        <f t="shared" si="508"/>
        <v>0</v>
      </c>
      <c r="P378" s="1080">
        <f t="shared" si="508"/>
        <v>0</v>
      </c>
      <c r="Q378" s="1081">
        <f t="shared" si="508"/>
        <v>0</v>
      </c>
    </row>
    <row r="379" spans="1:17" s="896" customFormat="1" ht="14">
      <c r="A379" s="2622"/>
      <c r="B379" s="2606"/>
      <c r="C379" s="1110" t="s">
        <v>2566</v>
      </c>
      <c r="D379" s="1138">
        <v>0.9</v>
      </c>
      <c r="E379" s="1131" t="s">
        <v>2639</v>
      </c>
      <c r="F379" s="1064">
        <f>SUM(G379:Q379)</f>
        <v>0</v>
      </c>
      <c r="G379" s="1080">
        <f t="shared" ref="G379:Q379" si="510">ROUNDDOWN(G361*G376*$D379,0)</f>
        <v>0</v>
      </c>
      <c r="H379" s="1080">
        <f t="shared" si="510"/>
        <v>0</v>
      </c>
      <c r="I379" s="1080">
        <f t="shared" si="510"/>
        <v>0</v>
      </c>
      <c r="J379" s="1080">
        <f t="shared" ref="J379:L379" si="511">ROUNDDOWN(J361*J376*$D379,0)</f>
        <v>0</v>
      </c>
      <c r="K379" s="1080">
        <f t="shared" si="511"/>
        <v>0</v>
      </c>
      <c r="L379" s="1080">
        <f t="shared" si="511"/>
        <v>0</v>
      </c>
      <c r="M379" s="1080">
        <f t="shared" si="510"/>
        <v>0</v>
      </c>
      <c r="N379" s="1080">
        <f t="shared" si="510"/>
        <v>0</v>
      </c>
      <c r="O379" s="1080">
        <f t="shared" si="510"/>
        <v>0</v>
      </c>
      <c r="P379" s="1080">
        <f t="shared" si="510"/>
        <v>0</v>
      </c>
      <c r="Q379" s="1081">
        <f t="shared" si="510"/>
        <v>0</v>
      </c>
    </row>
    <row r="380" spans="1:17" s="896" customFormat="1" ht="14">
      <c r="A380" s="2622"/>
      <c r="B380" s="2607" t="s">
        <v>2546</v>
      </c>
      <c r="C380" s="1110" t="s">
        <v>2642</v>
      </c>
      <c r="D380" s="1138">
        <f>+D362</f>
        <v>1</v>
      </c>
      <c r="E380" s="1113">
        <f>+E362</f>
        <v>0.01</v>
      </c>
      <c r="F380" s="911">
        <v>0</v>
      </c>
      <c r="G380" s="1080">
        <f t="shared" ref="G380:Q389" si="512">ROUNDDOWN(G362*$E380*$D380,0)</f>
        <v>0</v>
      </c>
      <c r="H380" s="1080">
        <f t="shared" si="512"/>
        <v>0</v>
      </c>
      <c r="I380" s="1080">
        <f t="shared" si="512"/>
        <v>0</v>
      </c>
      <c r="J380" s="1080">
        <f t="shared" ref="J380:L380" si="513">ROUNDDOWN(J362*$E380*$D380,0)</f>
        <v>0</v>
      </c>
      <c r="K380" s="1080">
        <f t="shared" si="513"/>
        <v>0</v>
      </c>
      <c r="L380" s="1080">
        <f t="shared" si="513"/>
        <v>0</v>
      </c>
      <c r="M380" s="1080">
        <f t="shared" si="512"/>
        <v>0</v>
      </c>
      <c r="N380" s="1080">
        <f t="shared" si="512"/>
        <v>0</v>
      </c>
      <c r="O380" s="1080">
        <f t="shared" si="512"/>
        <v>0</v>
      </c>
      <c r="P380" s="1080">
        <f t="shared" si="512"/>
        <v>0</v>
      </c>
      <c r="Q380" s="1080">
        <f t="shared" si="512"/>
        <v>0</v>
      </c>
    </row>
    <row r="381" spans="1:17" s="896" customFormat="1" ht="14">
      <c r="A381" s="2622"/>
      <c r="B381" s="2605"/>
      <c r="C381" s="1110" t="s">
        <v>2648</v>
      </c>
      <c r="D381" s="1138">
        <f t="shared" si="505"/>
        <v>1</v>
      </c>
      <c r="E381" s="1113">
        <f>+E363</f>
        <v>0.01</v>
      </c>
      <c r="F381" s="911">
        <v>0</v>
      </c>
      <c r="G381" s="1080">
        <f t="shared" si="512"/>
        <v>0</v>
      </c>
      <c r="H381" s="1080">
        <f t="shared" si="512"/>
        <v>0</v>
      </c>
      <c r="I381" s="1080">
        <f t="shared" si="512"/>
        <v>0</v>
      </c>
      <c r="J381" s="1080">
        <f t="shared" ref="J381:L381" si="514">ROUNDDOWN(J363*$E381*$D381,0)</f>
        <v>0</v>
      </c>
      <c r="K381" s="1080">
        <f t="shared" si="514"/>
        <v>0</v>
      </c>
      <c r="L381" s="1080">
        <f t="shared" si="514"/>
        <v>0</v>
      </c>
      <c r="M381" s="1080">
        <f t="shared" si="512"/>
        <v>0</v>
      </c>
      <c r="N381" s="1080">
        <f t="shared" si="512"/>
        <v>0</v>
      </c>
      <c r="O381" s="1080">
        <f t="shared" si="512"/>
        <v>0</v>
      </c>
      <c r="P381" s="1080">
        <f t="shared" si="512"/>
        <v>0</v>
      </c>
      <c r="Q381" s="1080">
        <f t="shared" si="512"/>
        <v>0</v>
      </c>
    </row>
    <row r="382" spans="1:17" s="896" customFormat="1" ht="14">
      <c r="A382" s="2622"/>
      <c r="B382" s="2605"/>
      <c r="C382" s="1110" t="s">
        <v>2549</v>
      </c>
      <c r="D382" s="1138">
        <f t="shared" si="505"/>
        <v>1</v>
      </c>
      <c r="E382" s="1113">
        <f>+E364</f>
        <v>0.01</v>
      </c>
      <c r="F382" s="911">
        <v>0</v>
      </c>
      <c r="G382" s="1080">
        <f t="shared" si="512"/>
        <v>0</v>
      </c>
      <c r="H382" s="1080">
        <f t="shared" si="512"/>
        <v>0</v>
      </c>
      <c r="I382" s="1080">
        <f t="shared" si="512"/>
        <v>0</v>
      </c>
      <c r="J382" s="1080">
        <f t="shared" ref="J382:L382" si="515">ROUNDDOWN(J364*$E382*$D382,0)</f>
        <v>0</v>
      </c>
      <c r="K382" s="1080">
        <f t="shared" si="515"/>
        <v>0</v>
      </c>
      <c r="L382" s="1080">
        <f t="shared" si="515"/>
        <v>0</v>
      </c>
      <c r="M382" s="1080">
        <f t="shared" si="512"/>
        <v>0</v>
      </c>
      <c r="N382" s="1080">
        <f t="shared" si="512"/>
        <v>0</v>
      </c>
      <c r="O382" s="1080">
        <f t="shared" si="512"/>
        <v>0</v>
      </c>
      <c r="P382" s="1080">
        <f t="shared" si="512"/>
        <v>0</v>
      </c>
      <c r="Q382" s="1080">
        <f t="shared" si="512"/>
        <v>0</v>
      </c>
    </row>
    <row r="383" spans="1:17" s="896" customFormat="1" ht="14">
      <c r="A383" s="2622"/>
      <c r="B383" s="2605"/>
      <c r="C383" s="1110" t="s">
        <v>2649</v>
      </c>
      <c r="D383" s="1138"/>
      <c r="E383" s="1113"/>
      <c r="F383" s="911"/>
      <c r="G383" s="1080"/>
      <c r="H383" s="1080"/>
      <c r="I383" s="1080"/>
      <c r="J383" s="1080"/>
      <c r="K383" s="1080"/>
      <c r="L383" s="1080"/>
      <c r="M383" s="1080"/>
      <c r="N383" s="1080"/>
      <c r="O383" s="1080"/>
      <c r="P383" s="1080"/>
      <c r="Q383" s="1080"/>
    </row>
    <row r="384" spans="1:17" s="896" customFormat="1" ht="14">
      <c r="A384" s="2622"/>
      <c r="B384" s="2605"/>
      <c r="C384" s="1139" t="s">
        <v>2551</v>
      </c>
      <c r="D384" s="1138"/>
      <c r="E384" s="1113"/>
      <c r="F384" s="911"/>
      <c r="G384" s="1080"/>
      <c r="H384" s="1080"/>
      <c r="I384" s="1080"/>
      <c r="J384" s="1080"/>
      <c r="K384" s="1080"/>
      <c r="L384" s="1080"/>
      <c r="M384" s="1080"/>
      <c r="N384" s="1080"/>
      <c r="O384" s="1080"/>
      <c r="P384" s="1080"/>
      <c r="Q384" s="1080"/>
    </row>
    <row r="385" spans="1:17" s="896" customFormat="1" ht="14">
      <c r="A385" s="2622"/>
      <c r="B385" s="2605"/>
      <c r="C385" s="1110" t="s">
        <v>2552</v>
      </c>
      <c r="D385" s="1138">
        <f t="shared" ref="D385:E389" si="516">+D367</f>
        <v>1</v>
      </c>
      <c r="E385" s="1113">
        <f t="shared" si="516"/>
        <v>0.01</v>
      </c>
      <c r="F385" s="911">
        <v>0</v>
      </c>
      <c r="G385" s="1080">
        <f t="shared" si="512"/>
        <v>0</v>
      </c>
      <c r="H385" s="1080">
        <f t="shared" si="512"/>
        <v>0</v>
      </c>
      <c r="I385" s="1080">
        <f t="shared" si="512"/>
        <v>0</v>
      </c>
      <c r="J385" s="1080">
        <f t="shared" ref="J385:L385" si="517">ROUNDDOWN(J367*$E385*$D385,0)</f>
        <v>0</v>
      </c>
      <c r="K385" s="1080">
        <f t="shared" si="517"/>
        <v>0</v>
      </c>
      <c r="L385" s="1080">
        <f t="shared" si="517"/>
        <v>0</v>
      </c>
      <c r="M385" s="1080">
        <f t="shared" si="512"/>
        <v>0</v>
      </c>
      <c r="N385" s="1080">
        <f t="shared" si="512"/>
        <v>0</v>
      </c>
      <c r="O385" s="1080">
        <f t="shared" si="512"/>
        <v>0</v>
      </c>
      <c r="P385" s="1080">
        <f t="shared" si="512"/>
        <v>0</v>
      </c>
      <c r="Q385" s="1080">
        <f t="shared" si="512"/>
        <v>0</v>
      </c>
    </row>
    <row r="386" spans="1:17" s="896" customFormat="1" ht="14">
      <c r="A386" s="2622"/>
      <c r="B386" s="2605"/>
      <c r="C386" s="1114" t="s">
        <v>2650</v>
      </c>
      <c r="D386" s="1138">
        <f t="shared" si="516"/>
        <v>1</v>
      </c>
      <c r="E386" s="1113">
        <f t="shared" si="516"/>
        <v>0.01</v>
      </c>
      <c r="F386" s="911">
        <v>0</v>
      </c>
      <c r="G386" s="1080">
        <f t="shared" si="512"/>
        <v>0</v>
      </c>
      <c r="H386" s="1080">
        <f t="shared" si="512"/>
        <v>0</v>
      </c>
      <c r="I386" s="1080">
        <f t="shared" si="512"/>
        <v>0</v>
      </c>
      <c r="J386" s="1080">
        <f t="shared" ref="J386:L386" si="518">ROUNDDOWN(J368*$E386*$D386,0)</f>
        <v>0</v>
      </c>
      <c r="K386" s="1080">
        <f t="shared" si="518"/>
        <v>0</v>
      </c>
      <c r="L386" s="1080">
        <f t="shared" si="518"/>
        <v>0</v>
      </c>
      <c r="M386" s="1080">
        <f t="shared" si="512"/>
        <v>0</v>
      </c>
      <c r="N386" s="1080">
        <f t="shared" si="512"/>
        <v>0</v>
      </c>
      <c r="O386" s="1080">
        <f t="shared" si="512"/>
        <v>0</v>
      </c>
      <c r="P386" s="1080">
        <f t="shared" si="512"/>
        <v>0</v>
      </c>
      <c r="Q386" s="1080">
        <f t="shared" si="512"/>
        <v>0</v>
      </c>
    </row>
    <row r="387" spans="1:17" s="896" customFormat="1" ht="14">
      <c r="A387" s="2622"/>
      <c r="B387" s="2605"/>
      <c r="C387" s="1114" t="s">
        <v>2651</v>
      </c>
      <c r="D387" s="1138">
        <f t="shared" si="516"/>
        <v>1</v>
      </c>
      <c r="E387" s="1113">
        <f t="shared" si="516"/>
        <v>0.01</v>
      </c>
      <c r="F387" s="911">
        <v>0</v>
      </c>
      <c r="G387" s="1080">
        <f t="shared" si="512"/>
        <v>0</v>
      </c>
      <c r="H387" s="1080">
        <f t="shared" si="512"/>
        <v>0</v>
      </c>
      <c r="I387" s="1080">
        <f t="shared" si="512"/>
        <v>0</v>
      </c>
      <c r="J387" s="1080">
        <f t="shared" ref="J387:L387" si="519">ROUNDDOWN(J369*$E387*$D387,0)</f>
        <v>0</v>
      </c>
      <c r="K387" s="1080">
        <f t="shared" si="519"/>
        <v>0</v>
      </c>
      <c r="L387" s="1080">
        <f t="shared" si="519"/>
        <v>0</v>
      </c>
      <c r="M387" s="1080">
        <f t="shared" si="512"/>
        <v>0</v>
      </c>
      <c r="N387" s="1080">
        <f t="shared" si="512"/>
        <v>0</v>
      </c>
      <c r="O387" s="1080">
        <f t="shared" si="512"/>
        <v>0</v>
      </c>
      <c r="P387" s="1080">
        <f t="shared" si="512"/>
        <v>0</v>
      </c>
      <c r="Q387" s="1080">
        <f t="shared" si="512"/>
        <v>0</v>
      </c>
    </row>
    <row r="388" spans="1:17" s="896" customFormat="1" ht="14">
      <c r="A388" s="2622"/>
      <c r="B388" s="2606"/>
      <c r="C388" s="1110" t="s">
        <v>2555</v>
      </c>
      <c r="D388" s="1138">
        <f t="shared" si="516"/>
        <v>1</v>
      </c>
      <c r="E388" s="1113">
        <f t="shared" si="516"/>
        <v>0.01</v>
      </c>
      <c r="F388" s="911">
        <v>0</v>
      </c>
      <c r="G388" s="1080">
        <f t="shared" si="512"/>
        <v>0</v>
      </c>
      <c r="H388" s="1080">
        <f t="shared" si="512"/>
        <v>0</v>
      </c>
      <c r="I388" s="1080">
        <f t="shared" si="512"/>
        <v>0</v>
      </c>
      <c r="J388" s="1080">
        <f t="shared" ref="J388:L388" si="520">ROUNDDOWN(J370*$E388*$D388,0)</f>
        <v>0</v>
      </c>
      <c r="K388" s="1080">
        <f t="shared" si="520"/>
        <v>0</v>
      </c>
      <c r="L388" s="1080">
        <f t="shared" si="520"/>
        <v>0</v>
      </c>
      <c r="M388" s="1080">
        <f t="shared" si="512"/>
        <v>0</v>
      </c>
      <c r="N388" s="1080">
        <f t="shared" si="512"/>
        <v>0</v>
      </c>
      <c r="O388" s="1080">
        <f t="shared" si="512"/>
        <v>0</v>
      </c>
      <c r="P388" s="1080">
        <f t="shared" si="512"/>
        <v>0</v>
      </c>
      <c r="Q388" s="1080">
        <f t="shared" si="512"/>
        <v>0</v>
      </c>
    </row>
    <row r="389" spans="1:17" s="896" customFormat="1" ht="15" thickBot="1">
      <c r="A389" s="2626"/>
      <c r="B389" s="1140" t="s">
        <v>2644</v>
      </c>
      <c r="C389" s="1141" t="s">
        <v>2652</v>
      </c>
      <c r="D389" s="1142">
        <f t="shared" si="516"/>
        <v>1</v>
      </c>
      <c r="E389" s="1143">
        <f t="shared" si="516"/>
        <v>0</v>
      </c>
      <c r="F389" s="1144">
        <f>ROUNDDOWN(D389*E389*F371,0)</f>
        <v>0</v>
      </c>
      <c r="G389" s="1080">
        <f>ROUNDDOWN(G371*$E389*$D389,0)</f>
        <v>0</v>
      </c>
      <c r="H389" s="1080">
        <f>ROUNDDOWN(H371*$E389*$D389,0)</f>
        <v>0</v>
      </c>
      <c r="I389" s="1080">
        <f>ROUNDDOWN(I371*$E389*$D389,0)</f>
        <v>0</v>
      </c>
      <c r="J389" s="1080">
        <f>ROUNDDOWN(J371*$E389*$D389,0)</f>
        <v>0</v>
      </c>
      <c r="K389" s="1080">
        <f t="shared" ref="K389:L389" si="521">ROUNDDOWN(K371*$E389*$D389,0)</f>
        <v>0</v>
      </c>
      <c r="L389" s="1080">
        <f t="shared" si="521"/>
        <v>0</v>
      </c>
      <c r="M389" s="1080">
        <f>ROUNDDOWN(M371*$E389*$D389,0)</f>
        <v>0</v>
      </c>
      <c r="N389" s="1080">
        <f t="shared" si="512"/>
        <v>0</v>
      </c>
      <c r="O389" s="1080">
        <f t="shared" si="512"/>
        <v>0</v>
      </c>
      <c r="P389" s="1080">
        <f t="shared" si="512"/>
        <v>0</v>
      </c>
      <c r="Q389" s="1080">
        <f t="shared" si="512"/>
        <v>0</v>
      </c>
    </row>
    <row r="390" spans="1:17" s="896" customFormat="1" ht="15" thickTop="1">
      <c r="A390" s="1145"/>
      <c r="B390" s="1146"/>
      <c r="C390" s="1147" t="s">
        <v>2653</v>
      </c>
      <c r="D390" s="1148"/>
      <c r="E390" s="1149"/>
      <c r="F390" s="1150">
        <f>SUM(G390:Q390)</f>
        <v>0</v>
      </c>
      <c r="G390" s="1151">
        <f>SUM(G377:G389)+G375</f>
        <v>0</v>
      </c>
      <c r="H390" s="1151">
        <f t="shared" ref="H390:Q390" si="522">SUM(H377:H389)+H375</f>
        <v>0</v>
      </c>
      <c r="I390" s="1151">
        <f t="shared" si="522"/>
        <v>0</v>
      </c>
      <c r="J390" s="1151">
        <f t="shared" ref="J390:L390" si="523">SUM(J377:J389)+J375</f>
        <v>0</v>
      </c>
      <c r="K390" s="1151">
        <f t="shared" si="523"/>
        <v>0</v>
      </c>
      <c r="L390" s="1151">
        <f t="shared" si="523"/>
        <v>0</v>
      </c>
      <c r="M390" s="1151">
        <f t="shared" si="522"/>
        <v>0</v>
      </c>
      <c r="N390" s="1151">
        <f t="shared" si="522"/>
        <v>0</v>
      </c>
      <c r="O390" s="1151">
        <f t="shared" si="522"/>
        <v>0</v>
      </c>
      <c r="P390" s="1151">
        <f t="shared" si="522"/>
        <v>0</v>
      </c>
      <c r="Q390" s="1152">
        <f t="shared" si="522"/>
        <v>0</v>
      </c>
    </row>
    <row r="391" spans="1:17" s="896" customFormat="1" ht="14">
      <c r="A391" s="887"/>
      <c r="B391" s="887"/>
      <c r="C391" s="924"/>
      <c r="D391" s="924"/>
      <c r="E391" s="887"/>
      <c r="F391" s="1153"/>
      <c r="G391" s="915"/>
      <c r="H391" s="915"/>
      <c r="I391" s="915"/>
      <c r="J391" s="915"/>
      <c r="K391" s="915"/>
      <c r="L391" s="915"/>
      <c r="M391" s="915"/>
      <c r="N391" s="915"/>
      <c r="O391" s="915"/>
      <c r="P391" s="915"/>
      <c r="Q391" s="915"/>
    </row>
    <row r="392" spans="1:17" s="896" customFormat="1" ht="14">
      <c r="A392" s="887"/>
      <c r="B392" s="887"/>
      <c r="C392" s="1099" t="s">
        <v>2726</v>
      </c>
      <c r="D392" s="1099"/>
      <c r="E392" s="923"/>
      <c r="F392" s="1042"/>
      <c r="G392" s="1046"/>
      <c r="H392" s="1046"/>
      <c r="I392" s="1046"/>
      <c r="J392" s="1046"/>
      <c r="K392" s="1046"/>
      <c r="L392" s="1046"/>
      <c r="M392" s="1046"/>
      <c r="N392" s="1046"/>
      <c r="O392" s="1046"/>
      <c r="P392" s="1046"/>
      <c r="Q392" s="1100" t="s">
        <v>2727</v>
      </c>
    </row>
    <row r="393" spans="1:17" s="896" customFormat="1" ht="14">
      <c r="A393" s="887"/>
      <c r="B393" s="887"/>
      <c r="C393" s="930" t="s">
        <v>2656</v>
      </c>
      <c r="D393" s="930"/>
      <c r="E393" s="923"/>
      <c r="F393" s="1042"/>
      <c r="G393" s="1046"/>
      <c r="H393" s="1046"/>
      <c r="I393" s="1046"/>
      <c r="J393" s="1046"/>
      <c r="K393" s="1046"/>
      <c r="L393" s="1046"/>
      <c r="M393" s="1046"/>
      <c r="N393" s="1046"/>
      <c r="O393" s="1046"/>
      <c r="P393" s="1046"/>
      <c r="Q393" s="1100"/>
    </row>
    <row r="394" spans="1:17" s="896" customFormat="1" ht="14">
      <c r="A394" s="877"/>
      <c r="B394" s="878"/>
      <c r="C394" s="878"/>
      <c r="D394" s="2616" t="s">
        <v>2635</v>
      </c>
      <c r="E394" s="2616" t="s">
        <v>2636</v>
      </c>
      <c r="F394" s="1092" t="s">
        <v>2517</v>
      </c>
      <c r="G394" s="1093" t="str">
        <f t="shared" ref="G394:Q394" si="524">+G302</f>
        <v>可動式ホーム柵設置に伴う建築工事</v>
      </c>
      <c r="H394" s="1093" t="str">
        <f t="shared" si="524"/>
        <v>隙間解消工事</v>
      </c>
      <c r="I394" s="1093" t="str">
        <f t="shared" si="524"/>
        <v>列車停止位置変更に伴う建築工事</v>
      </c>
      <c r="J394" s="1093" t="str">
        <f t="shared" ref="J394:L394" si="525">+J302</f>
        <v>床仕上改造その他工事</v>
      </c>
      <c r="K394" s="1093" t="str">
        <f t="shared" si="525"/>
        <v>整列乗車対策工事</v>
      </c>
      <c r="L394" s="1093" t="str">
        <f t="shared" si="525"/>
        <v>可動式ホーム柵設置に伴う建築工事</v>
      </c>
      <c r="M394" s="1093" t="str">
        <f t="shared" si="524"/>
        <v>隙間解消工事</v>
      </c>
      <c r="N394" s="1093" t="str">
        <f t="shared" si="524"/>
        <v>床仕上改造その他工事</v>
      </c>
      <c r="O394" s="1093">
        <f t="shared" si="524"/>
        <v>0</v>
      </c>
      <c r="P394" s="1093">
        <f t="shared" si="524"/>
        <v>0</v>
      </c>
      <c r="Q394" s="1094">
        <f t="shared" si="524"/>
        <v>0</v>
      </c>
    </row>
    <row r="395" spans="1:17" s="896" customFormat="1" ht="14">
      <c r="A395" s="2618" t="s">
        <v>2657</v>
      </c>
      <c r="B395" s="2619"/>
      <c r="C395" s="2620"/>
      <c r="D395" s="2617"/>
      <c r="E395" s="2617"/>
      <c r="F395" s="1101"/>
      <c r="G395" s="1102"/>
      <c r="H395" s="1102"/>
      <c r="I395" s="1102"/>
      <c r="J395" s="1102"/>
      <c r="K395" s="1102"/>
      <c r="L395" s="1102"/>
      <c r="M395" s="1102"/>
      <c r="N395" s="1102"/>
      <c r="O395" s="1102"/>
      <c r="P395" s="1102"/>
      <c r="Q395" s="1103"/>
    </row>
    <row r="396" spans="1:17" s="896" customFormat="1" ht="14">
      <c r="A396" s="2621"/>
      <c r="B396" s="1104" t="s">
        <v>2658</v>
      </c>
      <c r="C396" s="1105"/>
      <c r="D396" s="1106"/>
      <c r="E396" s="1107"/>
      <c r="F396" s="1108">
        <f t="shared" ref="F396:F403" si="526">SUM(G396:Q396)</f>
        <v>0</v>
      </c>
      <c r="G396" s="1109">
        <f t="shared" ref="G396:Q396" si="527">+G307-G351-G350-G346-G347</f>
        <v>0</v>
      </c>
      <c r="H396" s="1109">
        <f t="shared" si="527"/>
        <v>0</v>
      </c>
      <c r="I396" s="1109">
        <f t="shared" si="527"/>
        <v>0</v>
      </c>
      <c r="J396" s="1109">
        <f t="shared" ref="J396:L396" si="528">+J307-J351-J350-J346-J347</f>
        <v>0</v>
      </c>
      <c r="K396" s="1109">
        <f t="shared" si="528"/>
        <v>0</v>
      </c>
      <c r="L396" s="1109">
        <f t="shared" si="528"/>
        <v>0</v>
      </c>
      <c r="M396" s="1109">
        <f t="shared" si="527"/>
        <v>0</v>
      </c>
      <c r="N396" s="1109">
        <f t="shared" si="527"/>
        <v>0</v>
      </c>
      <c r="O396" s="1109">
        <f t="shared" si="527"/>
        <v>0</v>
      </c>
      <c r="P396" s="1109">
        <f t="shared" si="527"/>
        <v>0</v>
      </c>
      <c r="Q396" s="1122">
        <f t="shared" si="527"/>
        <v>0</v>
      </c>
    </row>
    <row r="397" spans="1:17" s="896" customFormat="1" ht="14">
      <c r="A397" s="2622"/>
      <c r="B397" s="2607" t="s">
        <v>2541</v>
      </c>
      <c r="C397" s="1110" t="s">
        <v>2542</v>
      </c>
      <c r="D397" s="1111">
        <v>1</v>
      </c>
      <c r="E397" s="1112" t="s">
        <v>2639</v>
      </c>
      <c r="F397" s="911">
        <f t="shared" si="526"/>
        <v>0</v>
      </c>
      <c r="G397" s="912">
        <f>IF(G333&gt;=G334,+G333+G375+G314-G315-G316-G351,G333+G375)</f>
        <v>0</v>
      </c>
      <c r="H397" s="912">
        <f t="shared" ref="H397:Q397" si="529">IF(H333&gt;=H334,+H333+H375+H314-H315-H316-H351,H333+H375)</f>
        <v>0</v>
      </c>
      <c r="I397" s="912">
        <f t="shared" si="529"/>
        <v>0</v>
      </c>
      <c r="J397" s="912">
        <f t="shared" ref="J397:L397" si="530">IF(J333&gt;=J334,+J333+J375+J314-J315-J316-J351,J333+J375)</f>
        <v>0</v>
      </c>
      <c r="K397" s="912">
        <f t="shared" si="530"/>
        <v>0</v>
      </c>
      <c r="L397" s="912">
        <f t="shared" si="530"/>
        <v>0</v>
      </c>
      <c r="M397" s="912">
        <f t="shared" si="529"/>
        <v>0</v>
      </c>
      <c r="N397" s="912">
        <f t="shared" si="529"/>
        <v>0</v>
      </c>
      <c r="O397" s="912">
        <f t="shared" si="529"/>
        <v>0</v>
      </c>
      <c r="P397" s="912">
        <f t="shared" si="529"/>
        <v>0</v>
      </c>
      <c r="Q397" s="913">
        <f t="shared" si="529"/>
        <v>0</v>
      </c>
    </row>
    <row r="398" spans="1:17" s="896" customFormat="1" ht="14">
      <c r="A398" s="2622"/>
      <c r="B398" s="2605"/>
      <c r="C398" s="1110" t="s">
        <v>2543</v>
      </c>
      <c r="D398" s="1111">
        <v>1</v>
      </c>
      <c r="E398" s="1112" t="s">
        <v>2639</v>
      </c>
      <c r="F398" s="911">
        <f t="shared" si="526"/>
        <v>0</v>
      </c>
      <c r="G398" s="912">
        <f>IF(G333&gt;=G334,+G334+G377,G334+G377+G314-G315-G316-G351)</f>
        <v>0</v>
      </c>
      <c r="H398" s="912">
        <f t="shared" ref="H398:Q398" si="531">IF(H333&gt;=H334,+H334+H377,H334+H377+H314-H315-H316-H351)</f>
        <v>0</v>
      </c>
      <c r="I398" s="912">
        <f t="shared" si="531"/>
        <v>0</v>
      </c>
      <c r="J398" s="912">
        <f t="shared" ref="J398:L398" si="532">IF(J333&gt;=J334,+J334+J377,J334+J377+J314-J315-J316-J351)</f>
        <v>0</v>
      </c>
      <c r="K398" s="912">
        <f t="shared" si="532"/>
        <v>0</v>
      </c>
      <c r="L398" s="912">
        <f t="shared" si="532"/>
        <v>0</v>
      </c>
      <c r="M398" s="912">
        <f t="shared" si="531"/>
        <v>0</v>
      </c>
      <c r="N398" s="912">
        <f t="shared" si="531"/>
        <v>0</v>
      </c>
      <c r="O398" s="912">
        <f t="shared" si="531"/>
        <v>0</v>
      </c>
      <c r="P398" s="912">
        <f t="shared" si="531"/>
        <v>0</v>
      </c>
      <c r="Q398" s="913">
        <f t="shared" si="531"/>
        <v>0</v>
      </c>
    </row>
    <row r="399" spans="1:17" s="896" customFormat="1" ht="14">
      <c r="A399" s="2622"/>
      <c r="B399" s="2605"/>
      <c r="C399" s="1110" t="s">
        <v>2640</v>
      </c>
      <c r="D399" s="1111">
        <v>1</v>
      </c>
      <c r="E399" s="1112" t="s">
        <v>2639</v>
      </c>
      <c r="F399" s="911">
        <f t="shared" si="526"/>
        <v>0</v>
      </c>
      <c r="G399" s="912">
        <f>+G335+G378</f>
        <v>0</v>
      </c>
      <c r="H399" s="912">
        <f t="shared" ref="H399:Q403" si="533">+H335+H378</f>
        <v>0</v>
      </c>
      <c r="I399" s="912">
        <f t="shared" si="533"/>
        <v>0</v>
      </c>
      <c r="J399" s="912">
        <f t="shared" ref="J399:L399" si="534">+J335+J378</f>
        <v>0</v>
      </c>
      <c r="K399" s="912">
        <f t="shared" si="534"/>
        <v>0</v>
      </c>
      <c r="L399" s="912">
        <f t="shared" si="534"/>
        <v>0</v>
      </c>
      <c r="M399" s="912">
        <f t="shared" si="533"/>
        <v>0</v>
      </c>
      <c r="N399" s="912">
        <f t="shared" si="533"/>
        <v>0</v>
      </c>
      <c r="O399" s="912">
        <f t="shared" si="533"/>
        <v>0</v>
      </c>
      <c r="P399" s="912">
        <f t="shared" si="533"/>
        <v>0</v>
      </c>
      <c r="Q399" s="913">
        <f t="shared" si="533"/>
        <v>0</v>
      </c>
    </row>
    <row r="400" spans="1:17" s="896" customFormat="1" ht="14">
      <c r="A400" s="2622"/>
      <c r="B400" s="2606"/>
      <c r="C400" s="1110" t="s">
        <v>2641</v>
      </c>
      <c r="D400" s="1111">
        <v>1</v>
      </c>
      <c r="E400" s="1112" t="s">
        <v>2639</v>
      </c>
      <c r="F400" s="911">
        <f t="shared" si="526"/>
        <v>0</v>
      </c>
      <c r="G400" s="912">
        <f>+G336+G379</f>
        <v>0</v>
      </c>
      <c r="H400" s="912">
        <f t="shared" si="533"/>
        <v>0</v>
      </c>
      <c r="I400" s="912">
        <f t="shared" si="533"/>
        <v>0</v>
      </c>
      <c r="J400" s="912">
        <f t="shared" ref="J400:L400" si="535">+J336+J379</f>
        <v>0</v>
      </c>
      <c r="K400" s="912">
        <f t="shared" si="535"/>
        <v>0</v>
      </c>
      <c r="L400" s="912">
        <f t="shared" si="535"/>
        <v>0</v>
      </c>
      <c r="M400" s="912">
        <f t="shared" si="533"/>
        <v>0</v>
      </c>
      <c r="N400" s="912">
        <f t="shared" si="533"/>
        <v>0</v>
      </c>
      <c r="O400" s="912">
        <f t="shared" si="533"/>
        <v>0</v>
      </c>
      <c r="P400" s="912">
        <f t="shared" si="533"/>
        <v>0</v>
      </c>
      <c r="Q400" s="913">
        <f t="shared" si="533"/>
        <v>0</v>
      </c>
    </row>
    <row r="401" spans="1:17" s="896" customFormat="1" ht="14">
      <c r="A401" s="2622"/>
      <c r="B401" s="2607" t="s">
        <v>2546</v>
      </c>
      <c r="C401" s="1110" t="s">
        <v>2642</v>
      </c>
      <c r="D401" s="1111">
        <v>1</v>
      </c>
      <c r="E401" s="1113">
        <v>0.02</v>
      </c>
      <c r="F401" s="911">
        <f t="shared" si="526"/>
        <v>0</v>
      </c>
      <c r="G401" s="912">
        <f>+G337+G380</f>
        <v>0</v>
      </c>
      <c r="H401" s="912">
        <f t="shared" si="533"/>
        <v>0</v>
      </c>
      <c r="I401" s="912">
        <f t="shared" si="533"/>
        <v>0</v>
      </c>
      <c r="J401" s="912">
        <f t="shared" ref="J401:L401" si="536">+J337+J380</f>
        <v>0</v>
      </c>
      <c r="K401" s="912">
        <f t="shared" si="536"/>
        <v>0</v>
      </c>
      <c r="L401" s="912">
        <f t="shared" si="536"/>
        <v>0</v>
      </c>
      <c r="M401" s="912">
        <f t="shared" si="533"/>
        <v>0</v>
      </c>
      <c r="N401" s="912">
        <f t="shared" si="533"/>
        <v>0</v>
      </c>
      <c r="O401" s="912">
        <f t="shared" si="533"/>
        <v>0</v>
      </c>
      <c r="P401" s="912">
        <f t="shared" si="533"/>
        <v>0</v>
      </c>
      <c r="Q401" s="913">
        <f t="shared" si="533"/>
        <v>0</v>
      </c>
    </row>
    <row r="402" spans="1:17" s="896" customFormat="1" ht="14">
      <c r="A402" s="2622"/>
      <c r="B402" s="2605"/>
      <c r="C402" s="1110" t="s">
        <v>2643</v>
      </c>
      <c r="D402" s="1111">
        <v>1</v>
      </c>
      <c r="E402" s="1113">
        <v>0.02</v>
      </c>
      <c r="F402" s="911">
        <f t="shared" si="526"/>
        <v>0</v>
      </c>
      <c r="G402" s="912">
        <f>+G338+G381</f>
        <v>0</v>
      </c>
      <c r="H402" s="912">
        <f t="shared" si="533"/>
        <v>0</v>
      </c>
      <c r="I402" s="912">
        <f t="shared" si="533"/>
        <v>0</v>
      </c>
      <c r="J402" s="912">
        <f t="shared" ref="J402:L402" si="537">+J338+J381</f>
        <v>0</v>
      </c>
      <c r="K402" s="912">
        <f t="shared" si="537"/>
        <v>0</v>
      </c>
      <c r="L402" s="912">
        <f t="shared" si="537"/>
        <v>0</v>
      </c>
      <c r="M402" s="912">
        <f t="shared" si="533"/>
        <v>0</v>
      </c>
      <c r="N402" s="912">
        <f t="shared" si="533"/>
        <v>0</v>
      </c>
      <c r="O402" s="912">
        <f t="shared" si="533"/>
        <v>0</v>
      </c>
      <c r="P402" s="912">
        <f t="shared" si="533"/>
        <v>0</v>
      </c>
      <c r="Q402" s="913">
        <f t="shared" si="533"/>
        <v>0</v>
      </c>
    </row>
    <row r="403" spans="1:17" s="896" customFormat="1" ht="14">
      <c r="A403" s="2622"/>
      <c r="B403" s="2605"/>
      <c r="C403" s="1110" t="s">
        <v>2549</v>
      </c>
      <c r="D403" s="1111">
        <v>1</v>
      </c>
      <c r="E403" s="1113">
        <v>0.02</v>
      </c>
      <c r="F403" s="911">
        <f t="shared" si="526"/>
        <v>0</v>
      </c>
      <c r="G403" s="912">
        <f>+G339+G382</f>
        <v>0</v>
      </c>
      <c r="H403" s="912">
        <f t="shared" si="533"/>
        <v>0</v>
      </c>
      <c r="I403" s="912">
        <f t="shared" si="533"/>
        <v>0</v>
      </c>
      <c r="J403" s="912">
        <f t="shared" ref="J403:L403" si="538">+J339+J382</f>
        <v>0</v>
      </c>
      <c r="K403" s="912">
        <f t="shared" si="538"/>
        <v>0</v>
      </c>
      <c r="L403" s="912">
        <f t="shared" si="538"/>
        <v>0</v>
      </c>
      <c r="M403" s="912">
        <f t="shared" si="533"/>
        <v>0</v>
      </c>
      <c r="N403" s="912">
        <f t="shared" si="533"/>
        <v>0</v>
      </c>
      <c r="O403" s="912">
        <f t="shared" si="533"/>
        <v>0</v>
      </c>
      <c r="P403" s="912">
        <f t="shared" si="533"/>
        <v>0</v>
      </c>
      <c r="Q403" s="913">
        <f t="shared" si="533"/>
        <v>0</v>
      </c>
    </row>
    <row r="404" spans="1:17" s="896" customFormat="1" ht="14">
      <c r="A404" s="2622"/>
      <c r="B404" s="2605"/>
      <c r="C404" s="1110" t="s">
        <v>2629</v>
      </c>
      <c r="D404" s="1111"/>
      <c r="E404" s="1113"/>
      <c r="F404" s="911"/>
      <c r="G404" s="912"/>
      <c r="H404" s="912"/>
      <c r="I404" s="912"/>
      <c r="J404" s="912"/>
      <c r="K404" s="912"/>
      <c r="L404" s="912"/>
      <c r="M404" s="912"/>
      <c r="N404" s="912"/>
      <c r="O404" s="912"/>
      <c r="P404" s="912"/>
      <c r="Q404" s="913"/>
    </row>
    <row r="405" spans="1:17" s="896" customFormat="1" ht="14">
      <c r="A405" s="2622"/>
      <c r="B405" s="2605"/>
      <c r="C405" s="1110" t="s">
        <v>2551</v>
      </c>
      <c r="D405" s="1111"/>
      <c r="E405" s="1113"/>
      <c r="F405" s="911"/>
      <c r="G405" s="912"/>
      <c r="H405" s="912"/>
      <c r="I405" s="912"/>
      <c r="J405" s="912"/>
      <c r="K405" s="912"/>
      <c r="L405" s="912"/>
      <c r="M405" s="912"/>
      <c r="N405" s="912"/>
      <c r="O405" s="912"/>
      <c r="P405" s="912"/>
      <c r="Q405" s="913"/>
    </row>
    <row r="406" spans="1:17" s="896" customFormat="1" ht="14">
      <c r="A406" s="2622"/>
      <c r="B406" s="2605"/>
      <c r="C406" s="1110" t="s">
        <v>2552</v>
      </c>
      <c r="D406" s="1111">
        <v>1</v>
      </c>
      <c r="E406" s="1113">
        <v>0.02</v>
      </c>
      <c r="F406" s="911">
        <f>SUM(G406:Q406)</f>
        <v>0</v>
      </c>
      <c r="G406" s="912">
        <f t="shared" ref="G406:Q409" si="539">+G342+G385</f>
        <v>0</v>
      </c>
      <c r="H406" s="912">
        <f t="shared" si="539"/>
        <v>0</v>
      </c>
      <c r="I406" s="912">
        <f t="shared" si="539"/>
        <v>0</v>
      </c>
      <c r="J406" s="912">
        <f t="shared" ref="J406:L406" si="540">+J342+J385</f>
        <v>0</v>
      </c>
      <c r="K406" s="912">
        <f t="shared" si="540"/>
        <v>0</v>
      </c>
      <c r="L406" s="912">
        <f t="shared" si="540"/>
        <v>0</v>
      </c>
      <c r="M406" s="912">
        <f t="shared" si="539"/>
        <v>0</v>
      </c>
      <c r="N406" s="912">
        <f t="shared" si="539"/>
        <v>0</v>
      </c>
      <c r="O406" s="912">
        <f t="shared" si="539"/>
        <v>0</v>
      </c>
      <c r="P406" s="912">
        <f t="shared" si="539"/>
        <v>0</v>
      </c>
      <c r="Q406" s="913">
        <f t="shared" si="539"/>
        <v>0</v>
      </c>
    </row>
    <row r="407" spans="1:17" s="896" customFormat="1" ht="14">
      <c r="A407" s="2622"/>
      <c r="B407" s="2605"/>
      <c r="C407" s="1114" t="s">
        <v>2630</v>
      </c>
      <c r="D407" s="1111">
        <v>1</v>
      </c>
      <c r="E407" s="1113">
        <v>0.02</v>
      </c>
      <c r="F407" s="911">
        <f>SUM(G407:Q407)</f>
        <v>0</v>
      </c>
      <c r="G407" s="912">
        <f t="shared" si="539"/>
        <v>0</v>
      </c>
      <c r="H407" s="912">
        <f t="shared" si="539"/>
        <v>0</v>
      </c>
      <c r="I407" s="912">
        <f t="shared" si="539"/>
        <v>0</v>
      </c>
      <c r="J407" s="912">
        <f t="shared" ref="J407:L407" si="541">+J343+J386</f>
        <v>0</v>
      </c>
      <c r="K407" s="912">
        <f t="shared" si="541"/>
        <v>0</v>
      </c>
      <c r="L407" s="912">
        <f t="shared" si="541"/>
        <v>0</v>
      </c>
      <c r="M407" s="912">
        <f t="shared" si="539"/>
        <v>0</v>
      </c>
      <c r="N407" s="912">
        <f t="shared" si="539"/>
        <v>0</v>
      </c>
      <c r="O407" s="912">
        <f t="shared" si="539"/>
        <v>0</v>
      </c>
      <c r="P407" s="912">
        <f t="shared" si="539"/>
        <v>0</v>
      </c>
      <c r="Q407" s="913">
        <f t="shared" si="539"/>
        <v>0</v>
      </c>
    </row>
    <row r="408" spans="1:17" s="896" customFormat="1" ht="14">
      <c r="A408" s="2622"/>
      <c r="B408" s="2605"/>
      <c r="C408" s="1114" t="s">
        <v>2631</v>
      </c>
      <c r="D408" s="1111">
        <v>1</v>
      </c>
      <c r="E408" s="1113">
        <v>0.02</v>
      </c>
      <c r="F408" s="911">
        <f>SUM(G408:Q408)</f>
        <v>0</v>
      </c>
      <c r="G408" s="912">
        <f t="shared" si="539"/>
        <v>0</v>
      </c>
      <c r="H408" s="912">
        <f t="shared" si="539"/>
        <v>0</v>
      </c>
      <c r="I408" s="912">
        <f t="shared" si="539"/>
        <v>0</v>
      </c>
      <c r="J408" s="912">
        <f t="shared" ref="J408:L408" si="542">+J344+J387</f>
        <v>0</v>
      </c>
      <c r="K408" s="912">
        <f t="shared" si="542"/>
        <v>0</v>
      </c>
      <c r="L408" s="912">
        <f t="shared" si="542"/>
        <v>0</v>
      </c>
      <c r="M408" s="912">
        <f t="shared" si="539"/>
        <v>0</v>
      </c>
      <c r="N408" s="912">
        <f t="shared" si="539"/>
        <v>0</v>
      </c>
      <c r="O408" s="912">
        <f t="shared" si="539"/>
        <v>0</v>
      </c>
      <c r="P408" s="912">
        <f t="shared" si="539"/>
        <v>0</v>
      </c>
      <c r="Q408" s="913">
        <f t="shared" si="539"/>
        <v>0</v>
      </c>
    </row>
    <row r="409" spans="1:17" s="896" customFormat="1" ht="14">
      <c r="A409" s="2622"/>
      <c r="B409" s="2606"/>
      <c r="C409" s="1110" t="s">
        <v>2555</v>
      </c>
      <c r="D409" s="1111">
        <v>1</v>
      </c>
      <c r="E409" s="1113">
        <v>0.02</v>
      </c>
      <c r="F409" s="911">
        <f>SUM(G409:Q409)</f>
        <v>0</v>
      </c>
      <c r="G409" s="912">
        <f t="shared" si="539"/>
        <v>0</v>
      </c>
      <c r="H409" s="912">
        <f t="shared" si="539"/>
        <v>0</v>
      </c>
      <c r="I409" s="912">
        <f t="shared" si="539"/>
        <v>0</v>
      </c>
      <c r="J409" s="912">
        <f t="shared" ref="J409:L409" si="543">+J345+J388</f>
        <v>0</v>
      </c>
      <c r="K409" s="912">
        <f t="shared" si="543"/>
        <v>0</v>
      </c>
      <c r="L409" s="912">
        <f t="shared" si="543"/>
        <v>0</v>
      </c>
      <c r="M409" s="912">
        <f t="shared" si="539"/>
        <v>0</v>
      </c>
      <c r="N409" s="912">
        <f t="shared" si="539"/>
        <v>0</v>
      </c>
      <c r="O409" s="912">
        <f t="shared" si="539"/>
        <v>0</v>
      </c>
      <c r="P409" s="912">
        <f t="shared" si="539"/>
        <v>0</v>
      </c>
      <c r="Q409" s="913">
        <f t="shared" si="539"/>
        <v>0</v>
      </c>
    </row>
    <row r="410" spans="1:17" s="896" customFormat="1" ht="14">
      <c r="A410" s="2623"/>
      <c r="B410" s="1115" t="s">
        <v>2644</v>
      </c>
      <c r="C410" s="1154" t="s">
        <v>2659</v>
      </c>
      <c r="D410" s="1117">
        <v>1</v>
      </c>
      <c r="E410" s="1118">
        <v>0</v>
      </c>
      <c r="F410" s="946">
        <f>SUM(G410:Q410)</f>
        <v>395686162</v>
      </c>
      <c r="G410" s="1073">
        <f t="shared" ref="G410:Q410" si="544">SUM(G346:G352)</f>
        <v>37409885</v>
      </c>
      <c r="H410" s="1073">
        <f t="shared" si="544"/>
        <v>22318883</v>
      </c>
      <c r="I410" s="1073">
        <f t="shared" si="544"/>
        <v>2131661</v>
      </c>
      <c r="J410" s="1073">
        <f t="shared" ref="J410:L410" si="545">SUM(J346:J352)</f>
        <v>107929486</v>
      </c>
      <c r="K410" s="1073">
        <f t="shared" si="545"/>
        <v>10208163</v>
      </c>
      <c r="L410" s="1073">
        <f t="shared" si="545"/>
        <v>47706961</v>
      </c>
      <c r="M410" s="1073">
        <f t="shared" si="544"/>
        <v>28913934</v>
      </c>
      <c r="N410" s="1073">
        <f t="shared" si="544"/>
        <v>139067189</v>
      </c>
      <c r="O410" s="1073">
        <f t="shared" si="544"/>
        <v>0</v>
      </c>
      <c r="P410" s="1073">
        <f t="shared" si="544"/>
        <v>0</v>
      </c>
      <c r="Q410" s="1074">
        <f t="shared" si="544"/>
        <v>0</v>
      </c>
    </row>
    <row r="411" spans="1:17" s="896" customFormat="1" ht="14">
      <c r="A411" s="1119"/>
      <c r="B411" s="1120"/>
      <c r="C411" s="1121"/>
      <c r="D411" s="2624"/>
      <c r="E411" s="2624"/>
      <c r="F411" s="1108"/>
      <c r="G411" s="1109"/>
      <c r="H411" s="1109"/>
      <c r="I411" s="1109"/>
      <c r="J411" s="1109"/>
      <c r="K411" s="1109"/>
      <c r="L411" s="1109"/>
      <c r="M411" s="1109"/>
      <c r="N411" s="1109"/>
      <c r="O411" s="1109"/>
      <c r="P411" s="1109"/>
      <c r="Q411" s="1122"/>
    </row>
    <row r="412" spans="1:17" s="896" customFormat="1" ht="14">
      <c r="A412" s="2618" t="s">
        <v>2660</v>
      </c>
      <c r="B412" s="2619"/>
      <c r="C412" s="2620"/>
      <c r="D412" s="2625"/>
      <c r="E412" s="2625"/>
      <c r="F412" s="1101"/>
      <c r="G412" s="1102"/>
      <c r="H412" s="1102"/>
      <c r="I412" s="1102"/>
      <c r="J412" s="1102"/>
      <c r="K412" s="1102"/>
      <c r="L412" s="1102"/>
      <c r="M412" s="1102"/>
      <c r="N412" s="1102"/>
      <c r="O412" s="1102"/>
      <c r="P412" s="1102"/>
      <c r="Q412" s="1103"/>
    </row>
    <row r="413" spans="1:17" s="896" customFormat="1" ht="14">
      <c r="A413" s="2621"/>
      <c r="B413" s="2604" t="s">
        <v>2541</v>
      </c>
      <c r="C413" s="1123" t="s">
        <v>2542</v>
      </c>
      <c r="D413" s="1124"/>
      <c r="E413" s="1125" t="s">
        <v>2639</v>
      </c>
      <c r="F413" s="1126" t="s">
        <v>2647</v>
      </c>
      <c r="G413" s="1127">
        <f t="shared" ref="G413:Q413" si="546">IF(G397=0,0,+G497/100)</f>
        <v>0</v>
      </c>
      <c r="H413" s="1127">
        <f t="shared" si="546"/>
        <v>0</v>
      </c>
      <c r="I413" s="1127">
        <f t="shared" si="546"/>
        <v>0</v>
      </c>
      <c r="J413" s="1127">
        <f t="shared" ref="J413:L413" si="547">IF(J397=0,0,+J497/100)</f>
        <v>0</v>
      </c>
      <c r="K413" s="1127">
        <f t="shared" si="547"/>
        <v>0</v>
      </c>
      <c r="L413" s="1127">
        <f t="shared" si="547"/>
        <v>0</v>
      </c>
      <c r="M413" s="1127">
        <f t="shared" si="546"/>
        <v>0</v>
      </c>
      <c r="N413" s="1127">
        <f t="shared" si="546"/>
        <v>0</v>
      </c>
      <c r="O413" s="1127">
        <f t="shared" si="546"/>
        <v>0</v>
      </c>
      <c r="P413" s="1127">
        <f t="shared" si="546"/>
        <v>0</v>
      </c>
      <c r="Q413" s="1128">
        <f t="shared" si="546"/>
        <v>0</v>
      </c>
    </row>
    <row r="414" spans="1:17" s="896" customFormat="1" ht="14">
      <c r="A414" s="2622"/>
      <c r="B414" s="2605"/>
      <c r="C414" s="1129"/>
      <c r="D414" s="1130">
        <f>+D397</f>
        <v>1</v>
      </c>
      <c r="E414" s="1131" t="s">
        <v>2639</v>
      </c>
      <c r="F414" s="1064">
        <f>SUM(G414:Q414)</f>
        <v>0</v>
      </c>
      <c r="G414" s="1080">
        <f t="shared" ref="G414:Q414" si="548">ROUNDDOWN(G397*G413*$D414,0)</f>
        <v>0</v>
      </c>
      <c r="H414" s="1080">
        <f t="shared" si="548"/>
        <v>0</v>
      </c>
      <c r="I414" s="1080">
        <f t="shared" si="548"/>
        <v>0</v>
      </c>
      <c r="J414" s="1080">
        <f t="shared" ref="J414:L414" si="549">ROUNDDOWN(J397*J413*$D414,0)</f>
        <v>0</v>
      </c>
      <c r="K414" s="1080">
        <f t="shared" si="549"/>
        <v>0</v>
      </c>
      <c r="L414" s="1080">
        <f t="shared" si="549"/>
        <v>0</v>
      </c>
      <c r="M414" s="1080">
        <f t="shared" si="548"/>
        <v>0</v>
      </c>
      <c r="N414" s="1080">
        <f t="shared" si="548"/>
        <v>0</v>
      </c>
      <c r="O414" s="1080">
        <f t="shared" si="548"/>
        <v>0</v>
      </c>
      <c r="P414" s="1080">
        <f t="shared" si="548"/>
        <v>0</v>
      </c>
      <c r="Q414" s="1081">
        <f t="shared" si="548"/>
        <v>0</v>
      </c>
    </row>
    <row r="415" spans="1:17" s="896" customFormat="1" ht="14">
      <c r="A415" s="2622"/>
      <c r="B415" s="2605"/>
      <c r="C415" s="1132" t="s">
        <v>2543</v>
      </c>
      <c r="D415" s="1133"/>
      <c r="E415" s="1131" t="s">
        <v>2639</v>
      </c>
      <c r="F415" s="1134" t="s">
        <v>2647</v>
      </c>
      <c r="G415" s="1155">
        <f t="shared" ref="G415:Q415" si="550">IF(G398=0,0,+G505/100)</f>
        <v>0</v>
      </c>
      <c r="H415" s="1135">
        <f>IF(H398=0,0,+H505/100)</f>
        <v>0</v>
      </c>
      <c r="I415" s="1135">
        <f t="shared" si="550"/>
        <v>0</v>
      </c>
      <c r="J415" s="1135">
        <f t="shared" ref="J415:L415" si="551">IF(J398=0,0,+J505/100)</f>
        <v>0</v>
      </c>
      <c r="K415" s="1135">
        <f t="shared" si="551"/>
        <v>0</v>
      </c>
      <c r="L415" s="1135">
        <f t="shared" si="551"/>
        <v>0</v>
      </c>
      <c r="M415" s="1135">
        <f t="shared" si="550"/>
        <v>0</v>
      </c>
      <c r="N415" s="1135">
        <f t="shared" si="550"/>
        <v>0</v>
      </c>
      <c r="O415" s="1135">
        <f t="shared" si="550"/>
        <v>0</v>
      </c>
      <c r="P415" s="1135">
        <f t="shared" si="550"/>
        <v>0</v>
      </c>
      <c r="Q415" s="1136">
        <f t="shared" si="550"/>
        <v>0</v>
      </c>
    </row>
    <row r="416" spans="1:17" s="896" customFormat="1" ht="14">
      <c r="A416" s="2622"/>
      <c r="B416" s="2605"/>
      <c r="C416" s="1129"/>
      <c r="D416" s="1137">
        <f t="shared" ref="D416:D421" si="552">+D398</f>
        <v>1</v>
      </c>
      <c r="E416" s="1131" t="s">
        <v>2639</v>
      </c>
      <c r="F416" s="1064">
        <f t="shared" ref="F416:F421" si="553">SUM(G416:Q416)</f>
        <v>0</v>
      </c>
      <c r="G416" s="1080">
        <f t="shared" ref="G416:Q416" si="554">ROUNDDOWN(G398*G415*$D416,0)</f>
        <v>0</v>
      </c>
      <c r="H416" s="1080">
        <f t="shared" si="554"/>
        <v>0</v>
      </c>
      <c r="I416" s="1080">
        <f t="shared" si="554"/>
        <v>0</v>
      </c>
      <c r="J416" s="1080">
        <f t="shared" ref="J416:L416" si="555">ROUNDDOWN(J398*J415*$D416,0)</f>
        <v>0</v>
      </c>
      <c r="K416" s="1080">
        <f t="shared" si="555"/>
        <v>0</v>
      </c>
      <c r="L416" s="1080">
        <f t="shared" si="555"/>
        <v>0</v>
      </c>
      <c r="M416" s="1080">
        <f t="shared" si="554"/>
        <v>0</v>
      </c>
      <c r="N416" s="1080">
        <f t="shared" si="554"/>
        <v>0</v>
      </c>
      <c r="O416" s="1080">
        <f t="shared" si="554"/>
        <v>0</v>
      </c>
      <c r="P416" s="1080">
        <f t="shared" si="554"/>
        <v>0</v>
      </c>
      <c r="Q416" s="1081">
        <f t="shared" si="554"/>
        <v>0</v>
      </c>
    </row>
    <row r="417" spans="1:17" s="896" customFormat="1" ht="14">
      <c r="A417" s="2622"/>
      <c r="B417" s="2605"/>
      <c r="C417" s="1110" t="s">
        <v>2565</v>
      </c>
      <c r="D417" s="1138">
        <f t="shared" si="552"/>
        <v>1</v>
      </c>
      <c r="E417" s="1131" t="s">
        <v>2639</v>
      </c>
      <c r="F417" s="1064">
        <f t="shared" si="553"/>
        <v>0</v>
      </c>
      <c r="G417" s="1080">
        <f t="shared" ref="G417:Q417" si="556">ROUNDDOWN(G399*G413*$D417,0)</f>
        <v>0</v>
      </c>
      <c r="H417" s="1080">
        <f t="shared" si="556"/>
        <v>0</v>
      </c>
      <c r="I417" s="1080">
        <f t="shared" si="556"/>
        <v>0</v>
      </c>
      <c r="J417" s="1080">
        <f t="shared" ref="J417:L417" si="557">ROUNDDOWN(J399*J413*$D417,0)</f>
        <v>0</v>
      </c>
      <c r="K417" s="1080">
        <f t="shared" si="557"/>
        <v>0</v>
      </c>
      <c r="L417" s="1080">
        <f t="shared" si="557"/>
        <v>0</v>
      </c>
      <c r="M417" s="1080">
        <f t="shared" si="556"/>
        <v>0</v>
      </c>
      <c r="N417" s="1080">
        <f t="shared" si="556"/>
        <v>0</v>
      </c>
      <c r="O417" s="1080">
        <f t="shared" si="556"/>
        <v>0</v>
      </c>
      <c r="P417" s="1080">
        <f t="shared" si="556"/>
        <v>0</v>
      </c>
      <c r="Q417" s="1081">
        <f t="shared" si="556"/>
        <v>0</v>
      </c>
    </row>
    <row r="418" spans="1:17" s="896" customFormat="1" ht="14">
      <c r="A418" s="2622"/>
      <c r="B418" s="2606"/>
      <c r="C418" s="1110" t="s">
        <v>2566</v>
      </c>
      <c r="D418" s="1138">
        <f t="shared" si="552"/>
        <v>1</v>
      </c>
      <c r="E418" s="1131" t="s">
        <v>2639</v>
      </c>
      <c r="F418" s="1064">
        <f t="shared" si="553"/>
        <v>0</v>
      </c>
      <c r="G418" s="1080">
        <f t="shared" ref="G418:Q418" si="558">ROUNDDOWN(G400*G415*$D418,0)</f>
        <v>0</v>
      </c>
      <c r="H418" s="1080">
        <f t="shared" si="558"/>
        <v>0</v>
      </c>
      <c r="I418" s="1080">
        <f t="shared" si="558"/>
        <v>0</v>
      </c>
      <c r="J418" s="1080">
        <f t="shared" ref="J418:L418" si="559">ROUNDDOWN(J400*J415*$D418,0)</f>
        <v>0</v>
      </c>
      <c r="K418" s="1080">
        <f t="shared" si="559"/>
        <v>0</v>
      </c>
      <c r="L418" s="1080">
        <f t="shared" si="559"/>
        <v>0</v>
      </c>
      <c r="M418" s="1080">
        <f t="shared" si="558"/>
        <v>0</v>
      </c>
      <c r="N418" s="1080">
        <f t="shared" si="558"/>
        <v>0</v>
      </c>
      <c r="O418" s="1080">
        <f t="shared" si="558"/>
        <v>0</v>
      </c>
      <c r="P418" s="1080">
        <f t="shared" si="558"/>
        <v>0</v>
      </c>
      <c r="Q418" s="1081">
        <f t="shared" si="558"/>
        <v>0</v>
      </c>
    </row>
    <row r="419" spans="1:17" s="896" customFormat="1" ht="14">
      <c r="A419" s="2622"/>
      <c r="B419" s="2607" t="s">
        <v>2546</v>
      </c>
      <c r="C419" s="1110" t="s">
        <v>2642</v>
      </c>
      <c r="D419" s="1138">
        <f t="shared" si="552"/>
        <v>1</v>
      </c>
      <c r="E419" s="1113">
        <f>+E401</f>
        <v>0.02</v>
      </c>
      <c r="F419" s="1064">
        <f t="shared" si="553"/>
        <v>0</v>
      </c>
      <c r="G419" s="1080">
        <f t="shared" ref="G419:Q427" si="560">ROUNDDOWN(G401*$E419*$D419,0)</f>
        <v>0</v>
      </c>
      <c r="H419" s="1080">
        <f t="shared" si="560"/>
        <v>0</v>
      </c>
      <c r="I419" s="1080">
        <f t="shared" si="560"/>
        <v>0</v>
      </c>
      <c r="J419" s="1080">
        <f t="shared" ref="J419:L419" si="561">ROUNDDOWN(J401*$E419*$D419,0)</f>
        <v>0</v>
      </c>
      <c r="K419" s="1080">
        <f t="shared" si="561"/>
        <v>0</v>
      </c>
      <c r="L419" s="1080">
        <f t="shared" si="561"/>
        <v>0</v>
      </c>
      <c r="M419" s="1080">
        <f t="shared" si="560"/>
        <v>0</v>
      </c>
      <c r="N419" s="1080">
        <f t="shared" si="560"/>
        <v>0</v>
      </c>
      <c r="O419" s="1080">
        <f t="shared" si="560"/>
        <v>0</v>
      </c>
      <c r="P419" s="1080">
        <f t="shared" si="560"/>
        <v>0</v>
      </c>
      <c r="Q419" s="1081">
        <f t="shared" si="560"/>
        <v>0</v>
      </c>
    </row>
    <row r="420" spans="1:17" s="896" customFormat="1" ht="14">
      <c r="A420" s="2622"/>
      <c r="B420" s="2605"/>
      <c r="C420" s="1110" t="s">
        <v>2648</v>
      </c>
      <c r="D420" s="1138">
        <f t="shared" si="552"/>
        <v>1</v>
      </c>
      <c r="E420" s="1113">
        <f>+E402</f>
        <v>0.02</v>
      </c>
      <c r="F420" s="1064">
        <f t="shared" si="553"/>
        <v>0</v>
      </c>
      <c r="G420" s="1080">
        <f t="shared" si="560"/>
        <v>0</v>
      </c>
      <c r="H420" s="1080">
        <f t="shared" si="560"/>
        <v>0</v>
      </c>
      <c r="I420" s="1080">
        <f>ROUNDDOWN(I402*$E420*$D420,0)</f>
        <v>0</v>
      </c>
      <c r="J420" s="1080">
        <f>ROUNDDOWN(J402*$E420*$D420,0)</f>
        <v>0</v>
      </c>
      <c r="K420" s="1080">
        <f t="shared" ref="K420:L420" si="562">ROUNDDOWN(K402*$E420*$D420,0)</f>
        <v>0</v>
      </c>
      <c r="L420" s="1080">
        <f t="shared" si="562"/>
        <v>0</v>
      </c>
      <c r="M420" s="1080">
        <f>ROUNDDOWN(M402*$E420*$D420,0)</f>
        <v>0</v>
      </c>
      <c r="N420" s="1080">
        <f t="shared" si="560"/>
        <v>0</v>
      </c>
      <c r="O420" s="1080">
        <f t="shared" si="560"/>
        <v>0</v>
      </c>
      <c r="P420" s="1080">
        <f t="shared" si="560"/>
        <v>0</v>
      </c>
      <c r="Q420" s="1081">
        <f t="shared" si="560"/>
        <v>0</v>
      </c>
    </row>
    <row r="421" spans="1:17" s="896" customFormat="1" ht="14">
      <c r="A421" s="2622"/>
      <c r="B421" s="2605"/>
      <c r="C421" s="1110" t="s">
        <v>2549</v>
      </c>
      <c r="D421" s="1138">
        <f t="shared" si="552"/>
        <v>1</v>
      </c>
      <c r="E421" s="1113">
        <f>+E403</f>
        <v>0.02</v>
      </c>
      <c r="F421" s="1064">
        <f t="shared" si="553"/>
        <v>0</v>
      </c>
      <c r="G421" s="1080">
        <f t="shared" si="560"/>
        <v>0</v>
      </c>
      <c r="H421" s="1080">
        <f t="shared" si="560"/>
        <v>0</v>
      </c>
      <c r="I421" s="1080">
        <f>ROUNDDOWN(I403*$E421*$D421,0)</f>
        <v>0</v>
      </c>
      <c r="J421" s="1080">
        <f>ROUNDDOWN(J403*$E421*$D421,0)</f>
        <v>0</v>
      </c>
      <c r="K421" s="1080">
        <f t="shared" ref="K421:L421" si="563">ROUNDDOWN(K403*$E421*$D421,0)</f>
        <v>0</v>
      </c>
      <c r="L421" s="1080">
        <f t="shared" si="563"/>
        <v>0</v>
      </c>
      <c r="M421" s="1080">
        <f>ROUNDDOWN(M403*$E421*$D421,0)</f>
        <v>0</v>
      </c>
      <c r="N421" s="1080">
        <f t="shared" si="560"/>
        <v>0</v>
      </c>
      <c r="O421" s="1080">
        <f t="shared" si="560"/>
        <v>0</v>
      </c>
      <c r="P421" s="1080">
        <f t="shared" si="560"/>
        <v>0</v>
      </c>
      <c r="Q421" s="1081">
        <f t="shared" si="560"/>
        <v>0</v>
      </c>
    </row>
    <row r="422" spans="1:17" s="896" customFormat="1" ht="14">
      <c r="A422" s="2622"/>
      <c r="B422" s="2605"/>
      <c r="C422" s="1110" t="s">
        <v>2629</v>
      </c>
      <c r="D422" s="1138"/>
      <c r="E422" s="1113"/>
      <c r="F422" s="1064"/>
      <c r="G422" s="1080"/>
      <c r="H422" s="1080"/>
      <c r="I422" s="1080"/>
      <c r="J422" s="1080"/>
      <c r="K422" s="1080"/>
      <c r="L422" s="1080"/>
      <c r="M422" s="1080"/>
      <c r="N422" s="1080"/>
      <c r="O422" s="1080"/>
      <c r="P422" s="1080"/>
      <c r="Q422" s="1081"/>
    </row>
    <row r="423" spans="1:17" s="896" customFormat="1" ht="14">
      <c r="A423" s="2622"/>
      <c r="B423" s="2605"/>
      <c r="C423" s="1139"/>
      <c r="D423" s="1138"/>
      <c r="E423" s="1113"/>
      <c r="F423" s="1064"/>
      <c r="G423" s="1080"/>
      <c r="H423" s="1080"/>
      <c r="I423" s="1080"/>
      <c r="J423" s="1080"/>
      <c r="K423" s="1080"/>
      <c r="L423" s="1080"/>
      <c r="M423" s="1080"/>
      <c r="N423" s="1080"/>
      <c r="O423" s="1080"/>
      <c r="P423" s="1080"/>
      <c r="Q423" s="1081"/>
    </row>
    <row r="424" spans="1:17" s="896" customFormat="1" ht="14">
      <c r="A424" s="2622"/>
      <c r="B424" s="2605"/>
      <c r="C424" s="1110" t="s">
        <v>2552</v>
      </c>
      <c r="D424" s="1138">
        <f t="shared" ref="D424:E427" si="564">+D406</f>
        <v>1</v>
      </c>
      <c r="E424" s="1113">
        <f t="shared" si="564"/>
        <v>0.02</v>
      </c>
      <c r="F424" s="1064">
        <f t="shared" ref="F424:F432" si="565">SUM(G424:Q424)</f>
        <v>0</v>
      </c>
      <c r="G424" s="1080">
        <f t="shared" ref="G424:M427" si="566">ROUNDDOWN(G406*$E424*$D424,0)</f>
        <v>0</v>
      </c>
      <c r="H424" s="1080">
        <f t="shared" si="566"/>
        <v>0</v>
      </c>
      <c r="I424" s="1080">
        <f t="shared" si="566"/>
        <v>0</v>
      </c>
      <c r="J424" s="1080">
        <f t="shared" ref="J424:L424" si="567">ROUNDDOWN(J406*$E424*$D424,0)</f>
        <v>0</v>
      </c>
      <c r="K424" s="1080">
        <f t="shared" si="567"/>
        <v>0</v>
      </c>
      <c r="L424" s="1080">
        <f t="shared" si="567"/>
        <v>0</v>
      </c>
      <c r="M424" s="1080">
        <f t="shared" si="566"/>
        <v>0</v>
      </c>
      <c r="N424" s="1080">
        <f t="shared" si="560"/>
        <v>0</v>
      </c>
      <c r="O424" s="1080">
        <f t="shared" si="560"/>
        <v>0</v>
      </c>
      <c r="P424" s="1080">
        <f t="shared" si="560"/>
        <v>0</v>
      </c>
      <c r="Q424" s="1081">
        <f t="shared" si="560"/>
        <v>0</v>
      </c>
    </row>
    <row r="425" spans="1:17" s="896" customFormat="1" ht="14">
      <c r="A425" s="2622"/>
      <c r="B425" s="2605"/>
      <c r="C425" s="1114" t="s">
        <v>2630</v>
      </c>
      <c r="D425" s="1138">
        <f t="shared" si="564"/>
        <v>1</v>
      </c>
      <c r="E425" s="1113">
        <f t="shared" si="564"/>
        <v>0.02</v>
      </c>
      <c r="F425" s="1064">
        <f t="shared" si="565"/>
        <v>0</v>
      </c>
      <c r="G425" s="1080">
        <f t="shared" si="566"/>
        <v>0</v>
      </c>
      <c r="H425" s="1080">
        <f t="shared" si="566"/>
        <v>0</v>
      </c>
      <c r="I425" s="1080">
        <f t="shared" si="566"/>
        <v>0</v>
      </c>
      <c r="J425" s="1080">
        <f t="shared" ref="J425:L425" si="568">ROUNDDOWN(J407*$E425*$D425,0)</f>
        <v>0</v>
      </c>
      <c r="K425" s="1080">
        <f t="shared" si="568"/>
        <v>0</v>
      </c>
      <c r="L425" s="1080">
        <f t="shared" si="568"/>
        <v>0</v>
      </c>
      <c r="M425" s="1080">
        <f t="shared" si="566"/>
        <v>0</v>
      </c>
      <c r="N425" s="1080">
        <f t="shared" si="560"/>
        <v>0</v>
      </c>
      <c r="O425" s="1080">
        <f t="shared" si="560"/>
        <v>0</v>
      </c>
      <c r="P425" s="1080">
        <f t="shared" si="560"/>
        <v>0</v>
      </c>
      <c r="Q425" s="1081">
        <f t="shared" si="560"/>
        <v>0</v>
      </c>
    </row>
    <row r="426" spans="1:17" s="896" customFormat="1" ht="14">
      <c r="A426" s="2622"/>
      <c r="B426" s="2605"/>
      <c r="C426" s="1114" t="s">
        <v>2631</v>
      </c>
      <c r="D426" s="1138">
        <f t="shared" si="564"/>
        <v>1</v>
      </c>
      <c r="E426" s="1113">
        <f t="shared" si="564"/>
        <v>0.02</v>
      </c>
      <c r="F426" s="1064">
        <f t="shared" si="565"/>
        <v>0</v>
      </c>
      <c r="G426" s="1080">
        <f t="shared" si="566"/>
        <v>0</v>
      </c>
      <c r="H426" s="1080">
        <f t="shared" si="566"/>
        <v>0</v>
      </c>
      <c r="I426" s="1080">
        <f t="shared" si="566"/>
        <v>0</v>
      </c>
      <c r="J426" s="1080">
        <f t="shared" ref="J426:L426" si="569">ROUNDDOWN(J408*$E426*$D426,0)</f>
        <v>0</v>
      </c>
      <c r="K426" s="1080">
        <f t="shared" si="569"/>
        <v>0</v>
      </c>
      <c r="L426" s="1080">
        <f t="shared" si="569"/>
        <v>0</v>
      </c>
      <c r="M426" s="1080">
        <f t="shared" si="566"/>
        <v>0</v>
      </c>
      <c r="N426" s="1080">
        <f t="shared" si="560"/>
        <v>0</v>
      </c>
      <c r="O426" s="1080">
        <f t="shared" si="560"/>
        <v>0</v>
      </c>
      <c r="P426" s="1080">
        <f t="shared" si="560"/>
        <v>0</v>
      </c>
      <c r="Q426" s="1081">
        <f t="shared" si="560"/>
        <v>0</v>
      </c>
    </row>
    <row r="427" spans="1:17" s="896" customFormat="1" ht="14">
      <c r="A427" s="2622"/>
      <c r="B427" s="2606"/>
      <c r="C427" s="1110" t="s">
        <v>2661</v>
      </c>
      <c r="D427" s="1138">
        <f t="shared" si="564"/>
        <v>1</v>
      </c>
      <c r="E427" s="1113">
        <f t="shared" si="564"/>
        <v>0.02</v>
      </c>
      <c r="F427" s="1064">
        <f t="shared" si="565"/>
        <v>0</v>
      </c>
      <c r="G427" s="1080">
        <f t="shared" si="566"/>
        <v>0</v>
      </c>
      <c r="H427" s="1080">
        <f t="shared" si="566"/>
        <v>0</v>
      </c>
      <c r="I427" s="1080">
        <f t="shared" si="566"/>
        <v>0</v>
      </c>
      <c r="J427" s="1080">
        <f t="shared" ref="J427:L427" si="570">ROUNDDOWN(J409*$E427*$D427,0)</f>
        <v>0</v>
      </c>
      <c r="K427" s="1080">
        <f t="shared" si="570"/>
        <v>0</v>
      </c>
      <c r="L427" s="1080">
        <f t="shared" si="570"/>
        <v>0</v>
      </c>
      <c r="M427" s="1080">
        <f t="shared" si="566"/>
        <v>0</v>
      </c>
      <c r="N427" s="1080">
        <f t="shared" si="560"/>
        <v>0</v>
      </c>
      <c r="O427" s="1080">
        <f t="shared" si="560"/>
        <v>0</v>
      </c>
      <c r="P427" s="1080">
        <f t="shared" si="560"/>
        <v>0</v>
      </c>
      <c r="Q427" s="1081">
        <f t="shared" si="560"/>
        <v>0</v>
      </c>
    </row>
    <row r="428" spans="1:17" s="896" customFormat="1" ht="14">
      <c r="A428" s="2622"/>
      <c r="B428" s="2643" t="s">
        <v>2662</v>
      </c>
      <c r="C428" s="1110" t="s">
        <v>2574</v>
      </c>
      <c r="D428" s="1156"/>
      <c r="E428" s="1157"/>
      <c r="F428" s="1064">
        <f t="shared" si="565"/>
        <v>44071565</v>
      </c>
      <c r="G428" s="1302">
        <f t="shared" ref="G428:Q428" si="571">+G212+G59</f>
        <v>4030064</v>
      </c>
      <c r="H428" s="1302">
        <f t="shared" si="571"/>
        <v>2282113</v>
      </c>
      <c r="I428" s="1302">
        <f t="shared" si="571"/>
        <v>221648</v>
      </c>
      <c r="J428" s="1302">
        <f t="shared" ref="J428:L428" si="572">+J212+J59</f>
        <v>12806355</v>
      </c>
      <c r="K428" s="1302">
        <f t="shared" si="572"/>
        <v>1185589</v>
      </c>
      <c r="L428" s="1302">
        <f t="shared" si="572"/>
        <v>5064997</v>
      </c>
      <c r="M428" s="1302">
        <f t="shared" si="571"/>
        <v>2736856</v>
      </c>
      <c r="N428" s="1302">
        <f t="shared" si="571"/>
        <v>15743943</v>
      </c>
      <c r="O428" s="1302">
        <f t="shared" si="571"/>
        <v>0</v>
      </c>
      <c r="P428" s="1302">
        <f t="shared" si="571"/>
        <v>0</v>
      </c>
      <c r="Q428" s="1303">
        <f t="shared" si="571"/>
        <v>0</v>
      </c>
    </row>
    <row r="429" spans="1:17" s="896" customFormat="1" ht="14">
      <c r="A429" s="2622"/>
      <c r="B429" s="2644"/>
      <c r="C429" s="1160" t="s">
        <v>2663</v>
      </c>
      <c r="D429" s="1156"/>
      <c r="E429" s="1157"/>
      <c r="F429" s="1064">
        <f t="shared" si="565"/>
        <v>0</v>
      </c>
      <c r="G429" s="912"/>
      <c r="H429" s="912"/>
      <c r="I429" s="912"/>
      <c r="J429" s="912"/>
      <c r="K429" s="912"/>
      <c r="L429" s="912"/>
      <c r="M429" s="912"/>
      <c r="N429" s="912"/>
      <c r="O429" s="912"/>
      <c r="P429" s="912"/>
      <c r="Q429" s="913"/>
    </row>
    <row r="430" spans="1:17" s="896" customFormat="1" ht="15" thickBot="1">
      <c r="A430" s="2626"/>
      <c r="B430" s="1161" t="s">
        <v>2644</v>
      </c>
      <c r="C430" s="1154" t="s">
        <v>2659</v>
      </c>
      <c r="D430" s="1156">
        <f>+D410</f>
        <v>1</v>
      </c>
      <c r="E430" s="1157">
        <f>+E410</f>
        <v>0</v>
      </c>
      <c r="F430" s="1064">
        <f t="shared" si="565"/>
        <v>0</v>
      </c>
      <c r="G430" s="1080">
        <f t="shared" ref="G430:Q430" si="573">ROUNDDOWN(G410*$E430*$D430,0)</f>
        <v>0</v>
      </c>
      <c r="H430" s="1080">
        <f t="shared" si="573"/>
        <v>0</v>
      </c>
      <c r="I430" s="1080">
        <f t="shared" si="573"/>
        <v>0</v>
      </c>
      <c r="J430" s="1080">
        <f t="shared" ref="J430:L430" si="574">ROUNDDOWN(J410*$E430*$D430,0)</f>
        <v>0</v>
      </c>
      <c r="K430" s="1080">
        <f t="shared" si="574"/>
        <v>0</v>
      </c>
      <c r="L430" s="1080">
        <f t="shared" si="574"/>
        <v>0</v>
      </c>
      <c r="M430" s="1080">
        <f t="shared" si="573"/>
        <v>0</v>
      </c>
      <c r="N430" s="1080">
        <f t="shared" si="573"/>
        <v>0</v>
      </c>
      <c r="O430" s="1080">
        <f t="shared" si="573"/>
        <v>0</v>
      </c>
      <c r="P430" s="1080">
        <f t="shared" si="573"/>
        <v>0</v>
      </c>
      <c r="Q430" s="1162">
        <f t="shared" si="573"/>
        <v>0</v>
      </c>
    </row>
    <row r="431" spans="1:17" s="896" customFormat="1" ht="15" thickTop="1">
      <c r="A431" s="1163"/>
      <c r="B431" s="1164"/>
      <c r="C431" s="1165" t="s">
        <v>2664</v>
      </c>
      <c r="D431" s="1166"/>
      <c r="E431" s="1167"/>
      <c r="F431" s="1168">
        <f t="shared" si="565"/>
        <v>44071565</v>
      </c>
      <c r="G431" s="1169">
        <f t="shared" ref="G431:Q431" si="575">SUM(G416:G430)+G414</f>
        <v>4030064</v>
      </c>
      <c r="H431" s="1169">
        <f t="shared" si="575"/>
        <v>2282113</v>
      </c>
      <c r="I431" s="1169">
        <f t="shared" si="575"/>
        <v>221648</v>
      </c>
      <c r="J431" s="1169">
        <f t="shared" ref="J431:L431" si="576">SUM(J416:J430)+J414</f>
        <v>12806355</v>
      </c>
      <c r="K431" s="1169">
        <f t="shared" si="576"/>
        <v>1185589</v>
      </c>
      <c r="L431" s="1169">
        <f t="shared" si="576"/>
        <v>5064997</v>
      </c>
      <c r="M431" s="1169">
        <f t="shared" si="575"/>
        <v>2736856</v>
      </c>
      <c r="N431" s="1169">
        <f t="shared" si="575"/>
        <v>15743943</v>
      </c>
      <c r="O431" s="1169">
        <f t="shared" si="575"/>
        <v>0</v>
      </c>
      <c r="P431" s="1169">
        <f t="shared" si="575"/>
        <v>0</v>
      </c>
      <c r="Q431" s="1170">
        <f t="shared" si="575"/>
        <v>0</v>
      </c>
    </row>
    <row r="432" spans="1:17" s="896" customFormat="1" ht="14">
      <c r="A432" s="1171"/>
      <c r="B432" s="1172"/>
      <c r="C432" s="1072" t="s">
        <v>2665</v>
      </c>
      <c r="D432" s="1173"/>
      <c r="E432" s="945"/>
      <c r="F432" s="946">
        <f t="shared" si="565"/>
        <v>439757727</v>
      </c>
      <c r="G432" s="1073">
        <f t="shared" ref="G432:Q432" si="577">+G307+G431</f>
        <v>41439949</v>
      </c>
      <c r="H432" s="1073">
        <f t="shared" si="577"/>
        <v>24600996</v>
      </c>
      <c r="I432" s="1073">
        <f t="shared" si="577"/>
        <v>2353309</v>
      </c>
      <c r="J432" s="1073">
        <f t="shared" ref="J432:L432" si="578">+J307+J431</f>
        <v>120735841</v>
      </c>
      <c r="K432" s="1073">
        <f t="shared" si="578"/>
        <v>11393752</v>
      </c>
      <c r="L432" s="1073">
        <f t="shared" si="578"/>
        <v>52771958</v>
      </c>
      <c r="M432" s="1073">
        <f t="shared" si="577"/>
        <v>31650790</v>
      </c>
      <c r="N432" s="1073">
        <f t="shared" si="577"/>
        <v>154811132</v>
      </c>
      <c r="O432" s="1073">
        <f t="shared" si="577"/>
        <v>0</v>
      </c>
      <c r="P432" s="1073">
        <f t="shared" si="577"/>
        <v>0</v>
      </c>
      <c r="Q432" s="1074">
        <f t="shared" si="577"/>
        <v>0</v>
      </c>
    </row>
    <row r="433" spans="1:17" s="896" customFormat="1" ht="14">
      <c r="A433" s="877"/>
      <c r="B433" s="878"/>
      <c r="C433" s="1310" t="s">
        <v>2728</v>
      </c>
      <c r="D433" s="1310"/>
      <c r="E433" s="1311"/>
      <c r="F433" s="1312"/>
      <c r="G433" s="1313"/>
      <c r="H433" s="1314"/>
      <c r="I433" s="1314"/>
      <c r="J433" s="1314"/>
      <c r="K433" s="1314"/>
      <c r="L433" s="1314"/>
      <c r="M433" s="1314"/>
      <c r="N433" s="1314"/>
      <c r="O433" s="1314"/>
      <c r="P433" s="1314"/>
      <c r="Q433" s="1315" t="s">
        <v>2729</v>
      </c>
    </row>
    <row r="434" spans="1:17" s="896" customFormat="1" ht="14">
      <c r="A434" s="886"/>
      <c r="B434" s="887"/>
      <c r="C434" s="887"/>
      <c r="D434" s="887"/>
      <c r="E434" s="887"/>
      <c r="F434" s="1043"/>
      <c r="G434" s="1046"/>
      <c r="H434" s="1046"/>
      <c r="I434" s="1046"/>
      <c r="J434" s="1046"/>
      <c r="K434" s="1046"/>
      <c r="L434" s="1046"/>
      <c r="M434" s="1046"/>
      <c r="N434" s="1046"/>
      <c r="O434" s="1046"/>
      <c r="P434" s="1046"/>
      <c r="Q434" s="1316"/>
    </row>
    <row r="435" spans="1:17" s="896" customFormat="1" ht="14">
      <c r="A435" s="2627"/>
      <c r="B435" s="2628"/>
      <c r="C435" s="2629"/>
      <c r="D435" s="1175"/>
      <c r="E435" s="1091" t="s">
        <v>2668</v>
      </c>
      <c r="F435" s="1092" t="s">
        <v>2517</v>
      </c>
      <c r="G435" s="1093" t="str">
        <f t="shared" ref="G435:Q435" si="579">+G302</f>
        <v>可動式ホーム柵設置に伴う建築工事</v>
      </c>
      <c r="H435" s="1093" t="str">
        <f t="shared" si="579"/>
        <v>隙間解消工事</v>
      </c>
      <c r="I435" s="1093" t="str">
        <f t="shared" si="579"/>
        <v>列車停止位置変更に伴う建築工事</v>
      </c>
      <c r="J435" s="1093" t="str">
        <f t="shared" ref="J435:L435" si="580">+J302</f>
        <v>床仕上改造その他工事</v>
      </c>
      <c r="K435" s="1093" t="str">
        <f t="shared" si="580"/>
        <v>整列乗車対策工事</v>
      </c>
      <c r="L435" s="1093" t="str">
        <f t="shared" si="580"/>
        <v>可動式ホーム柵設置に伴う建築工事</v>
      </c>
      <c r="M435" s="1093" t="str">
        <f t="shared" si="579"/>
        <v>隙間解消工事</v>
      </c>
      <c r="N435" s="1093" t="str">
        <f t="shared" si="579"/>
        <v>床仕上改造その他工事</v>
      </c>
      <c r="O435" s="1093">
        <f t="shared" si="579"/>
        <v>0</v>
      </c>
      <c r="P435" s="1093">
        <f t="shared" si="579"/>
        <v>0</v>
      </c>
      <c r="Q435" s="1094">
        <f t="shared" si="579"/>
        <v>0</v>
      </c>
    </row>
    <row r="436" spans="1:17" s="896" customFormat="1" ht="15" thickBot="1">
      <c r="A436" s="2630"/>
      <c r="B436" s="2631"/>
      <c r="C436" s="2632"/>
      <c r="D436" s="1176"/>
      <c r="E436" s="1177"/>
      <c r="F436" s="1053"/>
      <c r="G436" s="1178"/>
      <c r="H436" s="1178"/>
      <c r="I436" s="1178"/>
      <c r="J436" s="1178"/>
      <c r="K436" s="1178"/>
      <c r="L436" s="1178"/>
      <c r="M436" s="1178"/>
      <c r="N436" s="1178"/>
      <c r="O436" s="1178"/>
      <c r="P436" s="1178"/>
      <c r="Q436" s="1179"/>
    </row>
    <row r="437" spans="1:17" s="896" customFormat="1" ht="15" thickBot="1">
      <c r="A437" s="1180"/>
      <c r="B437" s="1181"/>
      <c r="C437" s="1182" t="s">
        <v>2669</v>
      </c>
      <c r="D437" s="1183"/>
      <c r="E437" s="1184"/>
      <c r="F437" s="1185">
        <f>SUM(G437:Q437)</f>
        <v>439757727</v>
      </c>
      <c r="G437" s="1186">
        <f t="shared" ref="G437:Q437" si="581">IF(G438="",+G432,0)</f>
        <v>41439949</v>
      </c>
      <c r="H437" s="1186">
        <f t="shared" si="581"/>
        <v>24600996</v>
      </c>
      <c r="I437" s="1186">
        <f t="shared" si="581"/>
        <v>2353309</v>
      </c>
      <c r="J437" s="1186">
        <f t="shared" ref="J437:L437" si="582">IF(J438="",+J432,0)</f>
        <v>120735841</v>
      </c>
      <c r="K437" s="1186">
        <f t="shared" si="582"/>
        <v>11393752</v>
      </c>
      <c r="L437" s="1186">
        <f t="shared" si="582"/>
        <v>52771958</v>
      </c>
      <c r="M437" s="1186">
        <f t="shared" si="581"/>
        <v>31650790</v>
      </c>
      <c r="N437" s="1186">
        <f t="shared" si="581"/>
        <v>154811132</v>
      </c>
      <c r="O437" s="1186">
        <f t="shared" si="581"/>
        <v>0</v>
      </c>
      <c r="P437" s="1186">
        <f t="shared" si="581"/>
        <v>0</v>
      </c>
      <c r="Q437" s="1187">
        <f t="shared" si="581"/>
        <v>0</v>
      </c>
    </row>
    <row r="438" spans="1:17" s="896" customFormat="1" ht="14">
      <c r="A438" s="886"/>
      <c r="B438" s="887"/>
      <c r="C438" s="1188" t="s">
        <v>2670</v>
      </c>
      <c r="D438" s="1189"/>
      <c r="E438" s="1190"/>
      <c r="F438" s="926">
        <f>F223</f>
        <v>0</v>
      </c>
      <c r="G438" s="926" t="str">
        <f>IF(G460=0,"",G432)</f>
        <v/>
      </c>
      <c r="H438" s="926" t="str">
        <f t="shared" ref="H438:Q438" si="583">IF(H460=0,"",H432)</f>
        <v/>
      </c>
      <c r="I438" s="926" t="str">
        <f t="shared" si="583"/>
        <v/>
      </c>
      <c r="J438" s="926" t="str">
        <f t="shared" ref="J438:L438" si="584">IF(J460=0,"",J432)</f>
        <v/>
      </c>
      <c r="K438" s="926" t="str">
        <f t="shared" si="584"/>
        <v/>
      </c>
      <c r="L438" s="926" t="str">
        <f t="shared" si="584"/>
        <v/>
      </c>
      <c r="M438" s="926" t="str">
        <f t="shared" si="583"/>
        <v/>
      </c>
      <c r="N438" s="926" t="str">
        <f t="shared" si="583"/>
        <v/>
      </c>
      <c r="O438" s="926" t="str">
        <f t="shared" si="583"/>
        <v/>
      </c>
      <c r="P438" s="926" t="str">
        <f t="shared" si="583"/>
        <v/>
      </c>
      <c r="Q438" s="1191" t="str">
        <f t="shared" si="583"/>
        <v/>
      </c>
    </row>
    <row r="439" spans="1:17" s="896" customFormat="1" ht="14">
      <c r="A439" s="1171"/>
      <c r="B439" s="1172"/>
      <c r="C439" s="2633" t="s">
        <v>2671</v>
      </c>
      <c r="D439" s="2633"/>
      <c r="E439" s="2634"/>
      <c r="F439" s="946">
        <f>F437+F438-F447</f>
        <v>439757727</v>
      </c>
      <c r="G439" s="1073"/>
      <c r="H439" s="1073"/>
      <c r="I439" s="1073"/>
      <c r="J439" s="1073"/>
      <c r="K439" s="1073"/>
      <c r="L439" s="1073"/>
      <c r="M439" s="1073"/>
      <c r="N439" s="1073"/>
      <c r="O439" s="1073"/>
      <c r="P439" s="1073"/>
      <c r="Q439" s="1074"/>
    </row>
    <row r="440" spans="1:17" s="896" customFormat="1" ht="14">
      <c r="A440" s="877"/>
      <c r="B440" s="878"/>
      <c r="C440" s="878"/>
      <c r="D440" s="1192"/>
      <c r="E440" s="881" t="str">
        <f>E302</f>
        <v>無し</v>
      </c>
      <c r="F440" s="2635" t="s">
        <v>2672</v>
      </c>
      <c r="G440" s="2636"/>
      <c r="H440" s="1077"/>
      <c r="I440" s="1077"/>
      <c r="J440" s="1077"/>
      <c r="K440" s="1077"/>
      <c r="L440" s="1077"/>
      <c r="M440" s="1077"/>
      <c r="N440" s="1077"/>
      <c r="O440" s="1077"/>
      <c r="P440" s="1077"/>
      <c r="Q440" s="1078"/>
    </row>
    <row r="441" spans="1:17" s="896" customFormat="1" ht="14">
      <c r="A441" s="2637" t="s">
        <v>2673</v>
      </c>
      <c r="B441" s="2638"/>
      <c r="C441" s="2639"/>
      <c r="D441" s="1193"/>
      <c r="E441" s="1194" t="str">
        <f>+E303</f>
        <v>有り</v>
      </c>
      <c r="F441" s="2640" t="s">
        <v>2674</v>
      </c>
      <c r="G441" s="2641"/>
      <c r="H441" s="1073"/>
      <c r="I441" s="1073"/>
      <c r="J441" s="1073"/>
      <c r="K441" s="1073"/>
      <c r="L441" s="1073"/>
      <c r="M441" s="1073"/>
      <c r="N441" s="1073"/>
      <c r="O441" s="1073"/>
      <c r="P441" s="1073"/>
      <c r="Q441" s="1074"/>
    </row>
    <row r="442" spans="1:17" s="896" customFormat="1" ht="14">
      <c r="A442" s="2642"/>
      <c r="B442" s="1195" t="s">
        <v>161</v>
      </c>
      <c r="C442" s="1196" t="s">
        <v>2675</v>
      </c>
      <c r="D442" s="1197">
        <v>1</v>
      </c>
      <c r="E442" s="1198">
        <f>+G511/100</f>
        <v>0.11070000000000001</v>
      </c>
      <c r="F442" s="907">
        <f>SUM(G442:Q442)</f>
        <v>439757727</v>
      </c>
      <c r="G442" s="1077">
        <f t="shared" ref="G442:Q442" si="585">+G437-G447</f>
        <v>41439949</v>
      </c>
      <c r="H442" s="1077">
        <f t="shared" si="585"/>
        <v>24600996</v>
      </c>
      <c r="I442" s="1077">
        <f>+I437-I447</f>
        <v>2353309</v>
      </c>
      <c r="J442" s="1077">
        <f t="shared" ref="J442:L442" si="586">+J437-J447</f>
        <v>120735841</v>
      </c>
      <c r="K442" s="1077">
        <f t="shared" si="586"/>
        <v>11393752</v>
      </c>
      <c r="L442" s="1077">
        <f t="shared" si="586"/>
        <v>52771958</v>
      </c>
      <c r="M442" s="1077">
        <f t="shared" si="585"/>
        <v>31650790</v>
      </c>
      <c r="N442" s="1077">
        <f t="shared" si="585"/>
        <v>154811132</v>
      </c>
      <c r="O442" s="1077">
        <f t="shared" si="585"/>
        <v>0</v>
      </c>
      <c r="P442" s="1077">
        <f t="shared" si="585"/>
        <v>0</v>
      </c>
      <c r="Q442" s="1078">
        <f t="shared" si="585"/>
        <v>0</v>
      </c>
    </row>
    <row r="443" spans="1:17" s="896" customFormat="1" ht="14">
      <c r="A443" s="2602"/>
      <c r="B443" s="2607" t="s">
        <v>2676</v>
      </c>
      <c r="C443" s="910" t="s">
        <v>2677</v>
      </c>
      <c r="D443" s="1138">
        <v>0.05</v>
      </c>
      <c r="E443" s="1113">
        <f>IF(OR(G299="無し",G299="なし"),IF(E440="無し",E442,0),0)</f>
        <v>0.11070000000000001</v>
      </c>
      <c r="F443" s="911">
        <f>SUM(G443:Q443)</f>
        <v>439757727</v>
      </c>
      <c r="G443" s="912">
        <f>IF(G460=0,+G442,0)</f>
        <v>41439949</v>
      </c>
      <c r="H443" s="912">
        <f>IF(H460=0,+H442,0)</f>
        <v>24600996</v>
      </c>
      <c r="I443" s="912">
        <f t="shared" ref="I443:Q443" si="587">IF(I460=0,+I442,0)</f>
        <v>2353309</v>
      </c>
      <c r="J443" s="912">
        <f t="shared" ref="J443:L443" si="588">IF(J460=0,+J442,0)</f>
        <v>120735841</v>
      </c>
      <c r="K443" s="912">
        <f t="shared" si="588"/>
        <v>11393752</v>
      </c>
      <c r="L443" s="912">
        <f t="shared" si="588"/>
        <v>52771958</v>
      </c>
      <c r="M443" s="912">
        <f t="shared" si="587"/>
        <v>31650790</v>
      </c>
      <c r="N443" s="912">
        <f t="shared" si="587"/>
        <v>154811132</v>
      </c>
      <c r="O443" s="912">
        <f t="shared" si="587"/>
        <v>0</v>
      </c>
      <c r="P443" s="912">
        <f t="shared" si="587"/>
        <v>0</v>
      </c>
      <c r="Q443" s="913">
        <f t="shared" si="587"/>
        <v>0</v>
      </c>
    </row>
    <row r="444" spans="1:17" s="896" customFormat="1" ht="14">
      <c r="A444" s="2602"/>
      <c r="B444" s="2606"/>
      <c r="C444" s="910" t="s">
        <v>2678</v>
      </c>
      <c r="D444" s="1199">
        <v>1</v>
      </c>
      <c r="E444" s="1113">
        <f>IF(OR(E441="無し",E441="なし"),0,0.0004)</f>
        <v>4.0000000000000002E-4</v>
      </c>
      <c r="F444" s="911">
        <f>SUM(G444:Q444)</f>
        <v>439757727</v>
      </c>
      <c r="G444" s="912">
        <f>IF(G460=0,+G442,0)</f>
        <v>41439949</v>
      </c>
      <c r="H444" s="912">
        <f t="shared" ref="H444:Q444" si="589">IF(H460=0,+H442,0)</f>
        <v>24600996</v>
      </c>
      <c r="I444" s="912">
        <f t="shared" si="589"/>
        <v>2353309</v>
      </c>
      <c r="J444" s="912">
        <f t="shared" ref="J444:L444" si="590">IF(J460=0,+J442,0)</f>
        <v>120735841</v>
      </c>
      <c r="K444" s="912">
        <f t="shared" si="590"/>
        <v>11393752</v>
      </c>
      <c r="L444" s="912">
        <f t="shared" si="590"/>
        <v>52771958</v>
      </c>
      <c r="M444" s="912">
        <f t="shared" si="589"/>
        <v>31650790</v>
      </c>
      <c r="N444" s="912">
        <f t="shared" si="589"/>
        <v>154811132</v>
      </c>
      <c r="O444" s="912">
        <f t="shared" si="589"/>
        <v>0</v>
      </c>
      <c r="P444" s="912">
        <f t="shared" si="589"/>
        <v>0</v>
      </c>
      <c r="Q444" s="913">
        <f t="shared" si="589"/>
        <v>0</v>
      </c>
    </row>
    <row r="445" spans="1:17" s="896" customFormat="1" ht="14">
      <c r="A445" s="2602"/>
      <c r="B445" s="1200"/>
      <c r="C445" s="910"/>
      <c r="D445" s="1201"/>
      <c r="E445" s="1201"/>
      <c r="F445" s="911"/>
      <c r="G445" s="912"/>
      <c r="H445" s="912"/>
      <c r="I445" s="912"/>
      <c r="J445" s="912"/>
      <c r="K445" s="912"/>
      <c r="L445" s="912"/>
      <c r="M445" s="912"/>
      <c r="N445" s="912"/>
      <c r="O445" s="912"/>
      <c r="P445" s="912"/>
      <c r="Q445" s="913"/>
    </row>
    <row r="446" spans="1:17" s="896" customFormat="1" ht="14">
      <c r="A446" s="2602"/>
      <c r="B446" s="1200"/>
      <c r="C446" s="910"/>
      <c r="D446" s="1201"/>
      <c r="E446" s="1201"/>
      <c r="F446" s="911"/>
      <c r="G446" s="912"/>
      <c r="H446" s="912"/>
      <c r="I446" s="912"/>
      <c r="J446" s="912"/>
      <c r="K446" s="912"/>
      <c r="L446" s="912"/>
      <c r="M446" s="912"/>
      <c r="N446" s="912"/>
      <c r="O446" s="912"/>
      <c r="P446" s="912"/>
      <c r="Q446" s="913"/>
    </row>
    <row r="447" spans="1:17" s="896" customFormat="1" ht="14">
      <c r="A447" s="2602"/>
      <c r="B447" s="2607" t="s">
        <v>2679</v>
      </c>
      <c r="C447" s="1110" t="str">
        <f>+C352</f>
        <v>(17)下水道使用料、各種負担金（共通仮設）</v>
      </c>
      <c r="D447" s="1202">
        <v>1</v>
      </c>
      <c r="E447" s="1203">
        <v>0</v>
      </c>
      <c r="F447" s="911">
        <f>SUM(G447:Q447)</f>
        <v>0</v>
      </c>
      <c r="G447" s="912">
        <f t="shared" ref="G447:Q447" si="591">+G352</f>
        <v>0</v>
      </c>
      <c r="H447" s="912">
        <f t="shared" si="591"/>
        <v>0</v>
      </c>
      <c r="I447" s="912">
        <f t="shared" si="591"/>
        <v>0</v>
      </c>
      <c r="J447" s="912">
        <f t="shared" ref="J447:L447" si="592">+J352</f>
        <v>0</v>
      </c>
      <c r="K447" s="912">
        <f t="shared" si="592"/>
        <v>0</v>
      </c>
      <c r="L447" s="912">
        <f t="shared" si="592"/>
        <v>0</v>
      </c>
      <c r="M447" s="912">
        <f t="shared" si="591"/>
        <v>0</v>
      </c>
      <c r="N447" s="912">
        <f t="shared" si="591"/>
        <v>0</v>
      </c>
      <c r="O447" s="912">
        <f t="shared" si="591"/>
        <v>0</v>
      </c>
      <c r="P447" s="912">
        <f t="shared" si="591"/>
        <v>0</v>
      </c>
      <c r="Q447" s="913">
        <f t="shared" si="591"/>
        <v>0</v>
      </c>
    </row>
    <row r="448" spans="1:17" s="896" customFormat="1" ht="14">
      <c r="A448" s="2602"/>
      <c r="B448" s="2605"/>
      <c r="C448" s="1204"/>
      <c r="D448" s="1110"/>
      <c r="E448" s="1203"/>
      <c r="F448" s="911"/>
      <c r="G448" s="912"/>
      <c r="H448" s="912"/>
      <c r="I448" s="912"/>
      <c r="J448" s="912"/>
      <c r="K448" s="912"/>
      <c r="L448" s="912"/>
      <c r="M448" s="912"/>
      <c r="N448" s="912"/>
      <c r="O448" s="912"/>
      <c r="P448" s="912"/>
      <c r="Q448" s="913"/>
    </row>
    <row r="449" spans="1:17" s="896" customFormat="1" ht="14">
      <c r="A449" s="2603"/>
      <c r="B449" s="2608"/>
      <c r="C449" s="1205"/>
      <c r="D449" s="1154"/>
      <c r="E449" s="1206"/>
      <c r="F449" s="946"/>
      <c r="G449" s="1073"/>
      <c r="H449" s="1073"/>
      <c r="I449" s="1073"/>
      <c r="J449" s="1073"/>
      <c r="K449" s="1073"/>
      <c r="L449" s="1073"/>
      <c r="M449" s="1073"/>
      <c r="N449" s="1073"/>
      <c r="O449" s="1073"/>
      <c r="P449" s="1073"/>
      <c r="Q449" s="1074"/>
    </row>
    <row r="450" spans="1:17" s="896" customFormat="1" ht="14">
      <c r="A450" s="877"/>
      <c r="B450" s="878"/>
      <c r="C450" s="1207"/>
      <c r="D450" s="1208"/>
      <c r="E450" s="1209"/>
      <c r="F450" s="907"/>
      <c r="G450" s="1077"/>
      <c r="H450" s="1077"/>
      <c r="I450" s="1077"/>
      <c r="J450" s="1077"/>
      <c r="K450" s="1077"/>
      <c r="L450" s="1077"/>
      <c r="M450" s="1077"/>
      <c r="N450" s="1077"/>
      <c r="O450" s="1077"/>
      <c r="P450" s="1077"/>
      <c r="Q450" s="1078"/>
    </row>
    <row r="451" spans="1:17" s="896" customFormat="1" ht="14">
      <c r="A451" s="2637" t="s">
        <v>2680</v>
      </c>
      <c r="B451" s="2638"/>
      <c r="C451" s="2639"/>
      <c r="D451" s="1210"/>
      <c r="E451" s="1211"/>
      <c r="F451" s="1212"/>
      <c r="G451" s="1073"/>
      <c r="H451" s="1073"/>
      <c r="I451" s="1073"/>
      <c r="J451" s="1073"/>
      <c r="K451" s="1073"/>
      <c r="L451" s="1073"/>
      <c r="M451" s="1073"/>
      <c r="N451" s="1073"/>
      <c r="O451" s="1073"/>
      <c r="P451" s="1073"/>
      <c r="Q451" s="1074"/>
    </row>
    <row r="452" spans="1:17" s="896" customFormat="1" ht="14">
      <c r="A452" s="886"/>
      <c r="B452" s="1213" t="s">
        <v>161</v>
      </c>
      <c r="C452" s="1196" t="s">
        <v>2675</v>
      </c>
      <c r="D452" s="1197">
        <f t="shared" ref="D452:E454" si="593">+D442</f>
        <v>1</v>
      </c>
      <c r="E452" s="1214">
        <f>+E442</f>
        <v>0.11070000000000001</v>
      </c>
      <c r="F452" s="911">
        <f>INT(D452*E452*F442)</f>
        <v>48681180</v>
      </c>
      <c r="G452" s="1077">
        <f>F452-SUM(H452:Q452)</f>
        <v>4587404</v>
      </c>
      <c r="H452" s="1077">
        <f>IF(H442=0,0,ROUND($F452/$F442*H442,0))</f>
        <v>2723330</v>
      </c>
      <c r="I452" s="1077">
        <f t="shared" ref="I452:Q452" si="594">IF(I442=0,0,ROUND($F452/$F442*I442,0))</f>
        <v>260511</v>
      </c>
      <c r="J452" s="1077">
        <f t="shared" ref="J452:L452" si="595">IF(J442=0,0,ROUND($F452/$F442*J442,0))</f>
        <v>13365457</v>
      </c>
      <c r="K452" s="1077">
        <f t="shared" si="595"/>
        <v>1261288</v>
      </c>
      <c r="L452" s="1077">
        <f t="shared" si="595"/>
        <v>5841856</v>
      </c>
      <c r="M452" s="1077">
        <f t="shared" si="594"/>
        <v>3503742</v>
      </c>
      <c r="N452" s="1077">
        <f t="shared" si="594"/>
        <v>17137592</v>
      </c>
      <c r="O452" s="1077">
        <f t="shared" si="594"/>
        <v>0</v>
      </c>
      <c r="P452" s="1077">
        <f t="shared" si="594"/>
        <v>0</v>
      </c>
      <c r="Q452" s="1078">
        <f t="shared" si="594"/>
        <v>0</v>
      </c>
    </row>
    <row r="453" spans="1:17" s="896" customFormat="1" ht="14">
      <c r="A453" s="886"/>
      <c r="B453" s="2607" t="s">
        <v>2676</v>
      </c>
      <c r="C453" s="910" t="s">
        <v>2677</v>
      </c>
      <c r="D453" s="1202">
        <f t="shared" si="593"/>
        <v>0.05</v>
      </c>
      <c r="E453" s="1113">
        <f t="shared" si="593"/>
        <v>0.11070000000000001</v>
      </c>
      <c r="F453" s="911">
        <f>INT(D453*E453*F443)</f>
        <v>2434059</v>
      </c>
      <c r="G453" s="912">
        <f>F453-SUM(H453:Q453)</f>
        <v>229369</v>
      </c>
      <c r="H453" s="912">
        <f t="shared" ref="H453:Q454" si="596">IF(H443=0,0,ROUND($F453/$F443*H443,0))</f>
        <v>136167</v>
      </c>
      <c r="I453" s="912">
        <f t="shared" si="596"/>
        <v>13026</v>
      </c>
      <c r="J453" s="912">
        <f t="shared" ref="J453:L453" si="597">IF(J443=0,0,ROUND($F453/$F443*J443,0))</f>
        <v>668273</v>
      </c>
      <c r="K453" s="912">
        <f t="shared" si="597"/>
        <v>63064</v>
      </c>
      <c r="L453" s="912">
        <f t="shared" si="597"/>
        <v>292093</v>
      </c>
      <c r="M453" s="912">
        <f t="shared" si="596"/>
        <v>175187</v>
      </c>
      <c r="N453" s="912">
        <f t="shared" si="596"/>
        <v>856880</v>
      </c>
      <c r="O453" s="912">
        <f t="shared" si="596"/>
        <v>0</v>
      </c>
      <c r="P453" s="912">
        <f t="shared" si="596"/>
        <v>0</v>
      </c>
      <c r="Q453" s="913">
        <f t="shared" si="596"/>
        <v>0</v>
      </c>
    </row>
    <row r="454" spans="1:17" s="896" customFormat="1" ht="14">
      <c r="A454" s="886"/>
      <c r="B454" s="2606"/>
      <c r="C454" s="910" t="s">
        <v>2678</v>
      </c>
      <c r="D454" s="1202">
        <f t="shared" si="593"/>
        <v>1</v>
      </c>
      <c r="E454" s="1113">
        <f t="shared" si="593"/>
        <v>4.0000000000000002E-4</v>
      </c>
      <c r="F454" s="911">
        <f>INT(D454*E454*F444)</f>
        <v>175903</v>
      </c>
      <c r="G454" s="912">
        <f>F454-SUM(H454:Q454)</f>
        <v>16578</v>
      </c>
      <c r="H454" s="912">
        <f>IF(H444=0,0,ROUND($F454/$F444*H444,0))</f>
        <v>9840</v>
      </c>
      <c r="I454" s="912">
        <f t="shared" si="596"/>
        <v>941</v>
      </c>
      <c r="J454" s="912">
        <f t="shared" ref="J454:L454" si="598">IF(J444=0,0,ROUND($F454/$F444*J444,0))</f>
        <v>48294</v>
      </c>
      <c r="K454" s="912">
        <f t="shared" si="598"/>
        <v>4557</v>
      </c>
      <c r="L454" s="912">
        <f t="shared" si="598"/>
        <v>21109</v>
      </c>
      <c r="M454" s="912">
        <f t="shared" si="596"/>
        <v>12660</v>
      </c>
      <c r="N454" s="912">
        <f t="shared" si="596"/>
        <v>61924</v>
      </c>
      <c r="O454" s="912">
        <f t="shared" si="596"/>
        <v>0</v>
      </c>
      <c r="P454" s="912">
        <f t="shared" si="596"/>
        <v>0</v>
      </c>
      <c r="Q454" s="913">
        <f t="shared" si="596"/>
        <v>0</v>
      </c>
    </row>
    <row r="455" spans="1:17" s="896" customFormat="1" ht="14">
      <c r="A455" s="886"/>
      <c r="B455" s="1200"/>
      <c r="C455" s="910"/>
      <c r="D455" s="1201"/>
      <c r="E455" s="1201"/>
      <c r="F455" s="911"/>
      <c r="G455" s="912"/>
      <c r="H455" s="912"/>
      <c r="I455" s="912"/>
      <c r="J455" s="912"/>
      <c r="K455" s="912"/>
      <c r="L455" s="912"/>
      <c r="M455" s="912"/>
      <c r="N455" s="912"/>
      <c r="O455" s="912"/>
      <c r="P455" s="912"/>
      <c r="Q455" s="913"/>
    </row>
    <row r="456" spans="1:17" s="896" customFormat="1" ht="14">
      <c r="A456" s="886"/>
      <c r="B456" s="1200"/>
      <c r="C456" s="910"/>
      <c r="D456" s="1201"/>
      <c r="E456" s="1201"/>
      <c r="F456" s="911"/>
      <c r="G456" s="912"/>
      <c r="H456" s="912"/>
      <c r="I456" s="912"/>
      <c r="J456" s="912"/>
      <c r="K456" s="912"/>
      <c r="L456" s="912"/>
      <c r="M456" s="912"/>
      <c r="N456" s="912"/>
      <c r="O456" s="912"/>
      <c r="P456" s="912"/>
      <c r="Q456" s="913"/>
    </row>
    <row r="457" spans="1:17" s="896" customFormat="1" ht="14">
      <c r="A457" s="886"/>
      <c r="B457" s="2607" t="s">
        <v>2679</v>
      </c>
      <c r="C457" s="1110" t="str">
        <f>+C352</f>
        <v>(17)下水道使用料、各種負担金（共通仮設）</v>
      </c>
      <c r="D457" s="1202">
        <f>+D447</f>
        <v>1</v>
      </c>
      <c r="E457" s="1113">
        <f>+E447</f>
        <v>0</v>
      </c>
      <c r="F457" s="911">
        <f>INT(D457*E457*F447)</f>
        <v>0</v>
      </c>
      <c r="G457" s="912">
        <f>F457-SUM(H457:Q457)</f>
        <v>0</v>
      </c>
      <c r="H457" s="912">
        <f t="shared" ref="H457:Q457" si="599">IF(H447=0,0,ROUND($F457/$F447*H447,0))</f>
        <v>0</v>
      </c>
      <c r="I457" s="912">
        <f t="shared" si="599"/>
        <v>0</v>
      </c>
      <c r="J457" s="912">
        <f t="shared" ref="J457:L457" si="600">IF(J447=0,0,ROUND($F457/$F447*J447,0))</f>
        <v>0</v>
      </c>
      <c r="K457" s="912">
        <f t="shared" si="600"/>
        <v>0</v>
      </c>
      <c r="L457" s="912">
        <f t="shared" si="600"/>
        <v>0</v>
      </c>
      <c r="M457" s="912">
        <f t="shared" si="599"/>
        <v>0</v>
      </c>
      <c r="N457" s="912">
        <f t="shared" si="599"/>
        <v>0</v>
      </c>
      <c r="O457" s="912">
        <f t="shared" si="599"/>
        <v>0</v>
      </c>
      <c r="P457" s="912">
        <f t="shared" si="599"/>
        <v>0</v>
      </c>
      <c r="Q457" s="913">
        <f t="shared" si="599"/>
        <v>0</v>
      </c>
    </row>
    <row r="458" spans="1:17" s="896" customFormat="1" ht="14">
      <c r="A458" s="886"/>
      <c r="B458" s="2605"/>
      <c r="C458" s="1204"/>
      <c r="D458" s="1110"/>
      <c r="E458" s="1201">
        <f>+G449</f>
        <v>0</v>
      </c>
      <c r="F458" s="911"/>
      <c r="G458" s="912"/>
      <c r="H458" s="912"/>
      <c r="I458" s="912"/>
      <c r="J458" s="912"/>
      <c r="K458" s="912"/>
      <c r="L458" s="912"/>
      <c r="M458" s="912"/>
      <c r="N458" s="912"/>
      <c r="O458" s="912"/>
      <c r="P458" s="912"/>
      <c r="Q458" s="913"/>
    </row>
    <row r="459" spans="1:17" s="896" customFormat="1" ht="14">
      <c r="A459" s="1215"/>
      <c r="B459" s="2606"/>
      <c r="C459" s="1204"/>
      <c r="D459" s="1110"/>
      <c r="E459" s="1201">
        <f>+G450</f>
        <v>0</v>
      </c>
      <c r="F459" s="911"/>
      <c r="G459" s="912"/>
      <c r="H459" s="912"/>
      <c r="I459" s="912"/>
      <c r="J459" s="912"/>
      <c r="K459" s="912"/>
      <c r="L459" s="912"/>
      <c r="M459" s="912"/>
      <c r="N459" s="912"/>
      <c r="O459" s="912"/>
      <c r="P459" s="912"/>
      <c r="Q459" s="913"/>
    </row>
    <row r="460" spans="1:17" s="896" customFormat="1" ht="14">
      <c r="A460" s="1215"/>
      <c r="B460" s="2643" t="s">
        <v>2662</v>
      </c>
      <c r="C460" s="1129" t="s">
        <v>2681</v>
      </c>
      <c r="D460" s="1216"/>
      <c r="E460" s="1217"/>
      <c r="F460" s="1218">
        <f>SUM(G460:Q460)</f>
        <v>0</v>
      </c>
      <c r="G460" s="1317">
        <f t="shared" ref="G460:Q460" si="601">+G245+G68</f>
        <v>0</v>
      </c>
      <c r="H460" s="1317">
        <f t="shared" si="601"/>
        <v>0</v>
      </c>
      <c r="I460" s="1317">
        <f t="shared" si="601"/>
        <v>0</v>
      </c>
      <c r="J460" s="1317">
        <f t="shared" ref="J460:L460" si="602">+J245+J68</f>
        <v>0</v>
      </c>
      <c r="K460" s="1317">
        <f t="shared" si="602"/>
        <v>0</v>
      </c>
      <c r="L460" s="1317">
        <f t="shared" si="602"/>
        <v>0</v>
      </c>
      <c r="M460" s="1317">
        <f t="shared" si="601"/>
        <v>0</v>
      </c>
      <c r="N460" s="1317">
        <f t="shared" si="601"/>
        <v>0</v>
      </c>
      <c r="O460" s="1317">
        <f t="shared" si="601"/>
        <v>0</v>
      </c>
      <c r="P460" s="1317">
        <f t="shared" si="601"/>
        <v>0</v>
      </c>
      <c r="Q460" s="1318">
        <f t="shared" si="601"/>
        <v>0</v>
      </c>
    </row>
    <row r="461" spans="1:17" s="896" customFormat="1" ht="14">
      <c r="A461" s="886"/>
      <c r="B461" s="2659"/>
      <c r="C461" s="1221" t="s">
        <v>2682</v>
      </c>
      <c r="D461" s="1156"/>
      <c r="E461" s="1157"/>
      <c r="F461" s="1064"/>
      <c r="G461" s="912"/>
      <c r="H461" s="912"/>
      <c r="I461" s="912"/>
      <c r="J461" s="912"/>
      <c r="K461" s="912"/>
      <c r="L461" s="912"/>
      <c r="M461" s="912"/>
      <c r="N461" s="912"/>
      <c r="O461" s="912"/>
      <c r="P461" s="912"/>
      <c r="Q461" s="913"/>
    </row>
    <row r="462" spans="1:17" s="896" customFormat="1" ht="14">
      <c r="A462" s="1180"/>
      <c r="B462" s="1181"/>
      <c r="C462" s="1181"/>
      <c r="D462" s="882"/>
      <c r="E462" s="882"/>
      <c r="F462" s="907"/>
      <c r="G462" s="1077"/>
      <c r="H462" s="1077"/>
      <c r="I462" s="1077"/>
      <c r="J462" s="1077"/>
      <c r="K462" s="1077"/>
      <c r="L462" s="1077"/>
      <c r="M462" s="1077"/>
      <c r="N462" s="1077"/>
      <c r="O462" s="1077"/>
      <c r="P462" s="1077"/>
      <c r="Q462" s="1078"/>
    </row>
    <row r="463" spans="1:17" s="896" customFormat="1" ht="14">
      <c r="A463" s="1222"/>
      <c r="B463" s="1082"/>
      <c r="C463" s="701" t="s">
        <v>2684</v>
      </c>
      <c r="D463" s="1204"/>
      <c r="E463" s="910"/>
      <c r="F463" s="911">
        <f>SUM(G463:Q463)</f>
        <v>51291142</v>
      </c>
      <c r="G463" s="912">
        <f>SUM(G452:G461)</f>
        <v>4833351</v>
      </c>
      <c r="H463" s="912">
        <f t="shared" ref="H463:Q463" si="603">SUM(H452:H461)</f>
        <v>2869337</v>
      </c>
      <c r="I463" s="912">
        <f t="shared" si="603"/>
        <v>274478</v>
      </c>
      <c r="J463" s="912">
        <f t="shared" ref="J463:L463" si="604">SUM(J452:J461)</f>
        <v>14082024</v>
      </c>
      <c r="K463" s="912">
        <f t="shared" si="604"/>
        <v>1328909</v>
      </c>
      <c r="L463" s="912">
        <f t="shared" si="604"/>
        <v>6155058</v>
      </c>
      <c r="M463" s="912">
        <f t="shared" si="603"/>
        <v>3691589</v>
      </c>
      <c r="N463" s="912">
        <f t="shared" si="603"/>
        <v>18056396</v>
      </c>
      <c r="O463" s="912">
        <f t="shared" si="603"/>
        <v>0</v>
      </c>
      <c r="P463" s="912">
        <f t="shared" si="603"/>
        <v>0</v>
      </c>
      <c r="Q463" s="913">
        <f t="shared" si="603"/>
        <v>0</v>
      </c>
    </row>
    <row r="464" spans="1:17" s="896" customFormat="1" ht="14">
      <c r="A464" s="1222"/>
      <c r="B464" s="1082"/>
      <c r="C464" s="701" t="s">
        <v>2665</v>
      </c>
      <c r="D464" s="1204"/>
      <c r="E464" s="910"/>
      <c r="F464" s="911">
        <f>SUM(G464:Q464)</f>
        <v>439757727</v>
      </c>
      <c r="G464" s="912">
        <f t="shared" ref="G464:Q464" si="605">+G432</f>
        <v>41439949</v>
      </c>
      <c r="H464" s="912">
        <f t="shared" si="605"/>
        <v>24600996</v>
      </c>
      <c r="I464" s="912">
        <f t="shared" si="605"/>
        <v>2353309</v>
      </c>
      <c r="J464" s="912">
        <f t="shared" ref="J464:L464" si="606">+J432</f>
        <v>120735841</v>
      </c>
      <c r="K464" s="912">
        <f t="shared" si="606"/>
        <v>11393752</v>
      </c>
      <c r="L464" s="912">
        <f t="shared" si="606"/>
        <v>52771958</v>
      </c>
      <c r="M464" s="912">
        <f t="shared" si="605"/>
        <v>31650790</v>
      </c>
      <c r="N464" s="912">
        <f t="shared" si="605"/>
        <v>154811132</v>
      </c>
      <c r="O464" s="912">
        <f t="shared" si="605"/>
        <v>0</v>
      </c>
      <c r="P464" s="912">
        <f t="shared" si="605"/>
        <v>0</v>
      </c>
      <c r="Q464" s="913">
        <f t="shared" si="605"/>
        <v>0</v>
      </c>
    </row>
    <row r="465" spans="1:17" s="896" customFormat="1" ht="15" thickBot="1">
      <c r="A465" s="1223"/>
      <c r="B465" s="1224"/>
      <c r="C465" s="1225" t="s">
        <v>2685</v>
      </c>
      <c r="D465" s="1226"/>
      <c r="E465" s="1227"/>
      <c r="F465" s="1144">
        <f>SUM(G465:Q465)</f>
        <v>491048869</v>
      </c>
      <c r="G465" s="1228">
        <f t="shared" ref="G465:Q465" si="607">SUM(G463:G464)</f>
        <v>46273300</v>
      </c>
      <c r="H465" s="1228">
        <f t="shared" si="607"/>
        <v>27470333</v>
      </c>
      <c r="I465" s="1228">
        <f t="shared" si="607"/>
        <v>2627787</v>
      </c>
      <c r="J465" s="1228">
        <f t="shared" ref="J465:L465" si="608">SUM(J463:J464)</f>
        <v>134817865</v>
      </c>
      <c r="K465" s="1228">
        <f t="shared" si="608"/>
        <v>12722661</v>
      </c>
      <c r="L465" s="1228">
        <f t="shared" si="608"/>
        <v>58927016</v>
      </c>
      <c r="M465" s="1228">
        <f t="shared" si="607"/>
        <v>35342379</v>
      </c>
      <c r="N465" s="1228">
        <f t="shared" si="607"/>
        <v>172867528</v>
      </c>
      <c r="O465" s="1228">
        <f t="shared" si="607"/>
        <v>0</v>
      </c>
      <c r="P465" s="1228">
        <f t="shared" si="607"/>
        <v>0</v>
      </c>
      <c r="Q465" s="1229">
        <f t="shared" si="607"/>
        <v>0</v>
      </c>
    </row>
    <row r="466" spans="1:17" s="896" customFormat="1" ht="15" thickTop="1">
      <c r="A466" s="886"/>
      <c r="B466" s="887"/>
      <c r="C466" s="887"/>
      <c r="D466" s="925"/>
      <c r="E466" s="925"/>
      <c r="F466" s="926"/>
      <c r="G466" s="1230">
        <f t="shared" ref="G466:Q466" si="609">ROUNDDOWN(G465,-3)</f>
        <v>46273000</v>
      </c>
      <c r="H466" s="1230">
        <f t="shared" si="609"/>
        <v>27470000</v>
      </c>
      <c r="I466" s="1230">
        <f t="shared" si="609"/>
        <v>2627000</v>
      </c>
      <c r="J466" s="1230">
        <f t="shared" ref="J466:L466" si="610">ROUNDDOWN(J465,-3)</f>
        <v>134817000</v>
      </c>
      <c r="K466" s="1230">
        <f t="shared" si="610"/>
        <v>12722000</v>
      </c>
      <c r="L466" s="1230">
        <f t="shared" si="610"/>
        <v>58927000</v>
      </c>
      <c r="M466" s="1230">
        <f t="shared" si="609"/>
        <v>35342000</v>
      </c>
      <c r="N466" s="1230">
        <f t="shared" si="609"/>
        <v>172867000</v>
      </c>
      <c r="O466" s="1230">
        <f t="shared" si="609"/>
        <v>0</v>
      </c>
      <c r="P466" s="1230">
        <f t="shared" si="609"/>
        <v>0</v>
      </c>
      <c r="Q466" s="1231">
        <f t="shared" si="609"/>
        <v>0</v>
      </c>
    </row>
    <row r="467" spans="1:17" s="896" customFormat="1" ht="14">
      <c r="A467" s="1222"/>
      <c r="B467" s="1082"/>
      <c r="C467" s="701" t="s">
        <v>2665</v>
      </c>
      <c r="D467" s="1204"/>
      <c r="E467" s="910"/>
      <c r="F467" s="911">
        <f>SUM(G467:Q467)</f>
        <v>439757727</v>
      </c>
      <c r="G467" s="912">
        <f>+G464</f>
        <v>41439949</v>
      </c>
      <c r="H467" s="912">
        <f t="shared" ref="H467:Q467" si="611">+H464</f>
        <v>24600996</v>
      </c>
      <c r="I467" s="912">
        <f t="shared" si="611"/>
        <v>2353309</v>
      </c>
      <c r="J467" s="912">
        <f t="shared" ref="J467:L467" si="612">+J464</f>
        <v>120735841</v>
      </c>
      <c r="K467" s="912">
        <f t="shared" si="612"/>
        <v>11393752</v>
      </c>
      <c r="L467" s="912">
        <f t="shared" si="612"/>
        <v>52771958</v>
      </c>
      <c r="M467" s="912">
        <f t="shared" si="611"/>
        <v>31650790</v>
      </c>
      <c r="N467" s="912">
        <f t="shared" si="611"/>
        <v>154811132</v>
      </c>
      <c r="O467" s="912">
        <f t="shared" si="611"/>
        <v>0</v>
      </c>
      <c r="P467" s="912">
        <f t="shared" si="611"/>
        <v>0</v>
      </c>
      <c r="Q467" s="913">
        <f t="shared" si="611"/>
        <v>0</v>
      </c>
    </row>
    <row r="468" spans="1:17" s="896" customFormat="1" ht="14">
      <c r="A468" s="1222"/>
      <c r="B468" s="1082"/>
      <c r="C468" s="701" t="s">
        <v>2686</v>
      </c>
      <c r="D468" s="1204"/>
      <c r="E468" s="1201"/>
      <c r="F468" s="911">
        <f>SUM(G468:Q468)</f>
        <v>51242273</v>
      </c>
      <c r="G468" s="912">
        <f>+G463-(G465-G470)</f>
        <v>4828051</v>
      </c>
      <c r="H468" s="912">
        <f t="shared" ref="H468:Q468" si="613">+H463-(H465-H470)</f>
        <v>2866004</v>
      </c>
      <c r="I468" s="912">
        <f t="shared" si="613"/>
        <v>273691</v>
      </c>
      <c r="J468" s="912">
        <f t="shared" ref="J468:L468" si="614">+J463-(J465-J470)</f>
        <v>14069159</v>
      </c>
      <c r="K468" s="912">
        <f t="shared" si="614"/>
        <v>1327248</v>
      </c>
      <c r="L468" s="912">
        <f t="shared" si="614"/>
        <v>6150042</v>
      </c>
      <c r="M468" s="912">
        <f t="shared" si="613"/>
        <v>3688210</v>
      </c>
      <c r="N468" s="912">
        <f t="shared" si="613"/>
        <v>18039868</v>
      </c>
      <c r="O468" s="912">
        <f t="shared" si="613"/>
        <v>0</v>
      </c>
      <c r="P468" s="912">
        <f t="shared" si="613"/>
        <v>0</v>
      </c>
      <c r="Q468" s="913">
        <f t="shared" si="613"/>
        <v>0</v>
      </c>
    </row>
    <row r="469" spans="1:17" s="896" customFormat="1" ht="14">
      <c r="A469" s="1222"/>
      <c r="B469" s="1082"/>
      <c r="C469" s="1082"/>
      <c r="D469" s="910"/>
      <c r="E469" s="1232">
        <f>SUM(G466:Q466)</f>
        <v>491045000</v>
      </c>
      <c r="F469" s="911" t="s">
        <v>2687</v>
      </c>
      <c r="G469" s="912">
        <f t="shared" ref="G469:Q469" si="615">+G463-G468</f>
        <v>5300</v>
      </c>
      <c r="H469" s="912">
        <f t="shared" si="615"/>
        <v>3333</v>
      </c>
      <c r="I469" s="912">
        <f t="shared" si="615"/>
        <v>787</v>
      </c>
      <c r="J469" s="912">
        <f t="shared" ref="J469:L469" si="616">+J463-J468</f>
        <v>12865</v>
      </c>
      <c r="K469" s="912">
        <f t="shared" si="616"/>
        <v>1661</v>
      </c>
      <c r="L469" s="912">
        <f t="shared" si="616"/>
        <v>5016</v>
      </c>
      <c r="M469" s="912">
        <f t="shared" si="615"/>
        <v>3379</v>
      </c>
      <c r="N469" s="912">
        <f t="shared" si="615"/>
        <v>16528</v>
      </c>
      <c r="O469" s="912">
        <f t="shared" si="615"/>
        <v>0</v>
      </c>
      <c r="P469" s="1233">
        <f t="shared" si="615"/>
        <v>0</v>
      </c>
      <c r="Q469" s="1234">
        <f t="shared" si="615"/>
        <v>0</v>
      </c>
    </row>
    <row r="470" spans="1:17" s="896" customFormat="1" ht="14">
      <c r="A470" s="1235"/>
      <c r="B470" s="1063"/>
      <c r="C470" s="1063" t="s">
        <v>2688</v>
      </c>
      <c r="D470" s="1236"/>
      <c r="E470" s="1232">
        <f>ROUNDDOWN(E469,4-LEN(E469))</f>
        <v>491000000</v>
      </c>
      <c r="F470" s="1237">
        <f>+E470</f>
        <v>491000000</v>
      </c>
      <c r="G470" s="1233">
        <f>IF(F471+SUM(H470:Q470)=F470,F471,F470-SUM(H470:Q470))</f>
        <v>46268000</v>
      </c>
      <c r="H470" s="1233">
        <f>IF(H460=0,+H466-ROUND($E$471*H465/$F$465,-3),H465)</f>
        <v>27467000</v>
      </c>
      <c r="I470" s="1233">
        <f t="shared" ref="I470:Q470" si="617">IF(I460=0,+I466-ROUND($E$471*I465/$F$465,-3),I465)</f>
        <v>2627000</v>
      </c>
      <c r="J470" s="1233">
        <f t="shared" ref="J470:L470" si="618">IF(J460=0,+J466-ROUND($E$471*J465/$F$465,-3),J465)</f>
        <v>134805000</v>
      </c>
      <c r="K470" s="1233">
        <f t="shared" si="618"/>
        <v>12721000</v>
      </c>
      <c r="L470" s="1233">
        <f t="shared" si="618"/>
        <v>58922000</v>
      </c>
      <c r="M470" s="1233">
        <f t="shared" si="617"/>
        <v>35339000</v>
      </c>
      <c r="N470" s="1233">
        <f t="shared" si="617"/>
        <v>172851000</v>
      </c>
      <c r="O470" s="1233">
        <f t="shared" si="617"/>
        <v>0</v>
      </c>
      <c r="P470" s="1233">
        <f t="shared" si="617"/>
        <v>0</v>
      </c>
      <c r="Q470" s="1234">
        <f t="shared" si="617"/>
        <v>0</v>
      </c>
    </row>
    <row r="471" spans="1:17" s="896" customFormat="1" ht="14">
      <c r="A471" s="1238"/>
      <c r="B471" s="1239"/>
      <c r="C471" s="1239"/>
      <c r="D471" s="1240"/>
      <c r="E471" s="1241">
        <f>E469-E470</f>
        <v>45000</v>
      </c>
      <c r="F471" s="1242">
        <f>+G466-ROUND($E$471*G465/$F$465,-3)</f>
        <v>46269000</v>
      </c>
      <c r="G471" s="1241">
        <f t="shared" ref="G471:Q471" si="619">IF(LEN(G465)&lt;=7,-3,IF(LEN(G465)=8,-4,IF(LEN(G465)&gt;=9,-5,-6)))</f>
        <v>-4</v>
      </c>
      <c r="H471" s="1241">
        <f t="shared" si="619"/>
        <v>-4</v>
      </c>
      <c r="I471" s="1241">
        <f t="shared" si="619"/>
        <v>-3</v>
      </c>
      <c r="J471" s="1241">
        <f t="shared" ref="J471:L471" si="620">IF(LEN(J465)&lt;=7,-3,IF(LEN(J465)=8,-4,IF(LEN(J465)&gt;=9,-5,-6)))</f>
        <v>-5</v>
      </c>
      <c r="K471" s="1241">
        <f t="shared" si="620"/>
        <v>-4</v>
      </c>
      <c r="L471" s="1241">
        <f t="shared" si="620"/>
        <v>-4</v>
      </c>
      <c r="M471" s="1241">
        <f t="shared" si="619"/>
        <v>-4</v>
      </c>
      <c r="N471" s="1241">
        <f t="shared" si="619"/>
        <v>-5</v>
      </c>
      <c r="O471" s="1241">
        <f t="shared" si="619"/>
        <v>-3</v>
      </c>
      <c r="P471" s="1241">
        <f t="shared" si="619"/>
        <v>-3</v>
      </c>
      <c r="Q471" s="1243">
        <f t="shared" si="619"/>
        <v>-3</v>
      </c>
    </row>
    <row r="472" spans="1:17" ht="15" thickBot="1">
      <c r="F472" s="1319"/>
      <c r="G472" s="1320"/>
    </row>
    <row r="473" spans="1:17" ht="14">
      <c r="A473" s="1321"/>
      <c r="B473" s="1322"/>
      <c r="C473" s="1323" t="s">
        <v>2689</v>
      </c>
      <c r="D473" s="1324"/>
      <c r="E473" s="1322"/>
      <c r="F473" s="1325" t="s">
        <v>2690</v>
      </c>
      <c r="G473" s="1252">
        <f t="shared" ref="G473:Q473" si="621">+G300</f>
        <v>16.600000000000001</v>
      </c>
      <c r="H473" s="1252">
        <f t="shared" si="621"/>
        <v>11</v>
      </c>
      <c r="I473" s="1252">
        <f t="shared" si="621"/>
        <v>16.600000000000001</v>
      </c>
      <c r="J473" s="1252">
        <f t="shared" ref="J473:L473" si="622">+J300</f>
        <v>16.600000000000001</v>
      </c>
      <c r="K473" s="1252">
        <f t="shared" si="622"/>
        <v>16.600000000000001</v>
      </c>
      <c r="L473" s="1252">
        <f t="shared" si="622"/>
        <v>16.600000000000001</v>
      </c>
      <c r="M473" s="1252">
        <f t="shared" si="621"/>
        <v>11</v>
      </c>
      <c r="N473" s="1252">
        <f t="shared" si="621"/>
        <v>16.600000000000001</v>
      </c>
      <c r="O473" s="1252">
        <f t="shared" si="621"/>
        <v>0</v>
      </c>
      <c r="P473" s="1252">
        <f t="shared" si="621"/>
        <v>0</v>
      </c>
      <c r="Q473" s="1253">
        <f t="shared" si="621"/>
        <v>0</v>
      </c>
    </row>
    <row r="474" spans="1:17" s="896" customFormat="1" ht="14">
      <c r="A474" s="2651"/>
      <c r="B474" s="2654" t="s">
        <v>2691</v>
      </c>
      <c r="C474" s="1254" t="s">
        <v>2692</v>
      </c>
      <c r="D474" s="1063"/>
      <c r="E474" s="1255"/>
      <c r="F474" s="1256" t="s">
        <v>2693</v>
      </c>
      <c r="G474" s="1257">
        <f>IF($F357&lt;=10000000,ROUND(7.56*(10000^-0.1105)*(G473^0.2389),2),ROUND(7.56*(($F357/1000)^-0.1105)*(G473^0.2389),2))</f>
        <v>5.35</v>
      </c>
      <c r="H474" s="1257">
        <f t="shared" ref="H474:Q474" si="623">IF($F357&lt;=10000000,ROUND(7.56*(10000^-0.1105)*(H473^0.2389),2),ROUND(7.56*(($F357/1000)^-0.1105)*(H473^0.2389),2))</f>
        <v>4.8499999999999996</v>
      </c>
      <c r="I474" s="1257">
        <f t="shared" si="623"/>
        <v>5.35</v>
      </c>
      <c r="J474" s="1257">
        <f t="shared" ref="J474:L474" si="624">IF($F357&lt;=10000000,ROUND(7.56*(10000^-0.1105)*(J473^0.2389),2),ROUND(7.56*(($F357/1000)^-0.1105)*(J473^0.2389),2))</f>
        <v>5.35</v>
      </c>
      <c r="K474" s="1257">
        <f t="shared" si="624"/>
        <v>5.35</v>
      </c>
      <c r="L474" s="1257">
        <f t="shared" si="624"/>
        <v>5.35</v>
      </c>
      <c r="M474" s="1257">
        <f t="shared" si="623"/>
        <v>4.8499999999999996</v>
      </c>
      <c r="N474" s="1257">
        <f t="shared" si="623"/>
        <v>5.35</v>
      </c>
      <c r="O474" s="1257">
        <f t="shared" si="623"/>
        <v>0</v>
      </c>
      <c r="P474" s="1257">
        <f t="shared" si="623"/>
        <v>0</v>
      </c>
      <c r="Q474" s="1326">
        <f t="shared" si="623"/>
        <v>0</v>
      </c>
    </row>
    <row r="475" spans="1:17" s="896" customFormat="1" ht="14">
      <c r="A475" s="2652"/>
      <c r="B475" s="2655"/>
      <c r="C475" s="2657" t="s">
        <v>2694</v>
      </c>
      <c r="D475" s="1133"/>
      <c r="E475" s="1258"/>
      <c r="F475" s="1256" t="s">
        <v>2695</v>
      </c>
      <c r="G475" s="1259">
        <f>IF($F357&lt;=10000000,ROUND(4.33,2),0)</f>
        <v>4.33</v>
      </c>
      <c r="H475" s="1259">
        <f t="shared" ref="H475:Q475" si="625">IF($F357&lt;=10000000,ROUND(4.33,2),0)</f>
        <v>4.33</v>
      </c>
      <c r="I475" s="1259">
        <f t="shared" si="625"/>
        <v>4.33</v>
      </c>
      <c r="J475" s="1259">
        <f t="shared" ref="J475:L475" si="626">IF($F357&lt;=10000000,ROUND(4.33,2),0)</f>
        <v>4.33</v>
      </c>
      <c r="K475" s="1259">
        <f t="shared" si="626"/>
        <v>4.33</v>
      </c>
      <c r="L475" s="1259">
        <f t="shared" si="626"/>
        <v>4.33</v>
      </c>
      <c r="M475" s="1259">
        <f t="shared" si="625"/>
        <v>4.33</v>
      </c>
      <c r="N475" s="1259">
        <f t="shared" si="625"/>
        <v>4.33</v>
      </c>
      <c r="O475" s="1259">
        <f t="shared" si="625"/>
        <v>4.33</v>
      </c>
      <c r="P475" s="1259">
        <f t="shared" si="625"/>
        <v>4.33</v>
      </c>
      <c r="Q475" s="1327">
        <f t="shared" si="625"/>
        <v>4.33</v>
      </c>
    </row>
    <row r="476" spans="1:17" s="896" customFormat="1" ht="13.5" customHeight="1">
      <c r="A476" s="2652"/>
      <c r="B476" s="2655"/>
      <c r="C476" s="2658"/>
      <c r="D476" s="1260"/>
      <c r="E476" s="1261"/>
      <c r="F476" s="1256" t="s">
        <v>2696</v>
      </c>
      <c r="G476" s="1259">
        <f>IF($F357&lt;=10000000,ROUND(3.25,2),0)</f>
        <v>3.25</v>
      </c>
      <c r="H476" s="1259">
        <f t="shared" ref="H476:Q476" si="627">IF($F357&lt;=10000000,ROUND(3.25,2),0)</f>
        <v>3.25</v>
      </c>
      <c r="I476" s="1259">
        <f t="shared" si="627"/>
        <v>3.25</v>
      </c>
      <c r="J476" s="1259">
        <f t="shared" ref="J476:L476" si="628">IF($F357&lt;=10000000,ROUND(3.25,2),0)</f>
        <v>3.25</v>
      </c>
      <c r="K476" s="1259">
        <f t="shared" si="628"/>
        <v>3.25</v>
      </c>
      <c r="L476" s="1259">
        <f t="shared" si="628"/>
        <v>3.25</v>
      </c>
      <c r="M476" s="1259">
        <f t="shared" si="627"/>
        <v>3.25</v>
      </c>
      <c r="N476" s="1259">
        <f t="shared" si="627"/>
        <v>3.25</v>
      </c>
      <c r="O476" s="1259">
        <f t="shared" si="627"/>
        <v>3.25</v>
      </c>
      <c r="P476" s="1259">
        <f t="shared" si="627"/>
        <v>3.25</v>
      </c>
      <c r="Q476" s="1327">
        <f t="shared" si="627"/>
        <v>3.25</v>
      </c>
    </row>
    <row r="477" spans="1:17" s="896" customFormat="1" ht="14">
      <c r="A477" s="2652"/>
      <c r="B477" s="2655"/>
      <c r="C477" s="2657" t="s">
        <v>2697</v>
      </c>
      <c r="D477" s="1133"/>
      <c r="E477" s="1258"/>
      <c r="F477" s="1256" t="s">
        <v>2695</v>
      </c>
      <c r="G477" s="1262">
        <f>IF($F357&gt;10000000,ROUND(5.78*($F357/1000)^-0.0313,2),0)</f>
        <v>0</v>
      </c>
      <c r="H477" s="1262">
        <f t="shared" ref="H477:Q477" si="629">IF($F357&gt;10000000,ROUND(5.78*($F357/1000)^-0.0313,2),0)</f>
        <v>0</v>
      </c>
      <c r="I477" s="1262">
        <f t="shared" si="629"/>
        <v>0</v>
      </c>
      <c r="J477" s="1262">
        <f t="shared" ref="J477:L477" si="630">IF($F357&gt;10000000,ROUND(5.78*($F357/1000)^-0.0313,2),0)</f>
        <v>0</v>
      </c>
      <c r="K477" s="1262">
        <f t="shared" si="630"/>
        <v>0</v>
      </c>
      <c r="L477" s="1262">
        <f t="shared" si="630"/>
        <v>0</v>
      </c>
      <c r="M477" s="1262">
        <f t="shared" si="629"/>
        <v>0</v>
      </c>
      <c r="N477" s="1262">
        <f t="shared" si="629"/>
        <v>0</v>
      </c>
      <c r="O477" s="1262">
        <f t="shared" si="629"/>
        <v>0</v>
      </c>
      <c r="P477" s="1262">
        <f t="shared" si="629"/>
        <v>0</v>
      </c>
      <c r="Q477" s="1328">
        <f t="shared" si="629"/>
        <v>0</v>
      </c>
    </row>
    <row r="478" spans="1:17" s="896" customFormat="1" ht="13.5" customHeight="1">
      <c r="A478" s="2653"/>
      <c r="B478" s="2656"/>
      <c r="C478" s="2658"/>
      <c r="D478" s="1260"/>
      <c r="E478" s="1261"/>
      <c r="F478" s="1256" t="s">
        <v>2696</v>
      </c>
      <c r="G478" s="1262">
        <f>IF($F357&gt;10000000,ROUND(4.34*($F357/1000)^-0.0313,2),0)</f>
        <v>0</v>
      </c>
      <c r="H478" s="1262">
        <f t="shared" ref="H478:Q478" si="631">IF($F357&gt;10000000,ROUND(4.34*($F357/1000)^-0.0313,2),0)</f>
        <v>0</v>
      </c>
      <c r="I478" s="1262">
        <f t="shared" si="631"/>
        <v>0</v>
      </c>
      <c r="J478" s="1262">
        <f t="shared" ref="J478:L478" si="632">IF($F357&gt;10000000,ROUND(4.34*($F357/1000)^-0.0313,2),0)</f>
        <v>0</v>
      </c>
      <c r="K478" s="1262">
        <f t="shared" si="632"/>
        <v>0</v>
      </c>
      <c r="L478" s="1262">
        <f t="shared" si="632"/>
        <v>0</v>
      </c>
      <c r="M478" s="1262">
        <f t="shared" si="631"/>
        <v>0</v>
      </c>
      <c r="N478" s="1262">
        <f t="shared" si="631"/>
        <v>0</v>
      </c>
      <c r="O478" s="1262">
        <f t="shared" si="631"/>
        <v>0</v>
      </c>
      <c r="P478" s="1262">
        <f t="shared" si="631"/>
        <v>0</v>
      </c>
      <c r="Q478" s="1328">
        <f t="shared" si="631"/>
        <v>0</v>
      </c>
    </row>
    <row r="479" spans="1:17" s="896" customFormat="1" ht="13.5" customHeight="1">
      <c r="A479" s="2645" t="s">
        <v>2698</v>
      </c>
      <c r="B479" s="2646"/>
      <c r="C479" s="2646"/>
      <c r="D479" s="2646"/>
      <c r="E479" s="2646"/>
      <c r="F479" s="2647"/>
      <c r="G479" s="1262">
        <f>IF($F357&lt;=10000000,IF(G$474&gt;G$475,G$475,IF(G$474&lt;G$476,G$476,G$474)),IF(G$474&gt;G$477,G$477,IF(G$474&lt;G$478,G$478,G$474)))</f>
        <v>4.33</v>
      </c>
      <c r="H479" s="1262">
        <f t="shared" ref="H479:Q479" si="633">IF($F357&lt;=10000000,IF(H$474&gt;H$475,H$475,IF(H$474&lt;H$476,H$476,H$474)),IF(H$474&gt;H$477,H$477,IF(H$474&lt;H$478,H$478,H$474)))</f>
        <v>4.33</v>
      </c>
      <c r="I479" s="1262">
        <f t="shared" si="633"/>
        <v>4.33</v>
      </c>
      <c r="J479" s="1262">
        <f t="shared" ref="J479:L479" si="634">IF($F357&lt;=10000000,IF(J$474&gt;J$475,J$475,IF(J$474&lt;J$476,J$476,J$474)),IF(J$474&gt;J$477,J$477,IF(J$474&lt;J$478,J$478,J$474)))</f>
        <v>4.33</v>
      </c>
      <c r="K479" s="1262">
        <f t="shared" si="634"/>
        <v>4.33</v>
      </c>
      <c r="L479" s="1262">
        <f t="shared" si="634"/>
        <v>4.33</v>
      </c>
      <c r="M479" s="1262">
        <f t="shared" si="633"/>
        <v>4.33</v>
      </c>
      <c r="N479" s="1262">
        <f t="shared" si="633"/>
        <v>4.33</v>
      </c>
      <c r="O479" s="1262">
        <f t="shared" si="633"/>
        <v>3.25</v>
      </c>
      <c r="P479" s="1262">
        <f t="shared" si="633"/>
        <v>3.25</v>
      </c>
      <c r="Q479" s="1328">
        <f t="shared" si="633"/>
        <v>3.25</v>
      </c>
    </row>
    <row r="480" spans="1:17" s="896" customFormat="1" ht="15" thickBot="1">
      <c r="A480" s="2648" t="s">
        <v>2699</v>
      </c>
      <c r="B480" s="2649"/>
      <c r="C480" s="2649"/>
      <c r="D480" s="2649"/>
      <c r="E480" s="2649"/>
      <c r="F480" s="2650"/>
      <c r="G480" s="1268">
        <f>ROUND(G479*IF(AND(G305="駅施設",G306="無し"),0.7,IF(AND(G305="駅施設",G306="有り"),0.7,IF(AND(G305="地上建物",G306="無し"),0.9,IF(AND(G305="地上建物",G306="有り"),1,0)))),2)</f>
        <v>3.03</v>
      </c>
      <c r="H480" s="1268">
        <f t="shared" ref="H480:Q480" si="635">ROUND(H479*IF(AND(H305="駅施設",H306="無し"),0.7,IF(AND(H305="駅施設",H306="有り"),0.7,IF(AND(H305="地上建物",H306="無し"),0.9,IF(AND(H305="地上建物",H306="有り"),1,0)))),2)</f>
        <v>3.03</v>
      </c>
      <c r="I480" s="1268">
        <f t="shared" si="635"/>
        <v>3.03</v>
      </c>
      <c r="J480" s="1268">
        <f t="shared" ref="J480:L480" si="636">ROUND(J479*IF(AND(J305="駅施設",J306="無し"),0.7,IF(AND(J305="駅施設",J306="有り"),0.7,IF(AND(J305="地上建物",J306="無し"),0.9,IF(AND(J305="地上建物",J306="有り"),1,0)))),2)</f>
        <v>3.03</v>
      </c>
      <c r="K480" s="1268">
        <f t="shared" si="636"/>
        <v>3.03</v>
      </c>
      <c r="L480" s="1268">
        <f t="shared" si="636"/>
        <v>3.03</v>
      </c>
      <c r="M480" s="1268">
        <f t="shared" si="635"/>
        <v>3.03</v>
      </c>
      <c r="N480" s="1268">
        <f t="shared" si="635"/>
        <v>3.03</v>
      </c>
      <c r="O480" s="1268">
        <f t="shared" si="635"/>
        <v>2.2799999999999998</v>
      </c>
      <c r="P480" s="1268">
        <f t="shared" si="635"/>
        <v>2.2799999999999998</v>
      </c>
      <c r="Q480" s="1268">
        <f t="shared" si="635"/>
        <v>2.2799999999999998</v>
      </c>
    </row>
    <row r="481" spans="1:17" s="896" customFormat="1" ht="15" thickBot="1">
      <c r="G481" s="1264"/>
      <c r="H481" s="1264"/>
      <c r="I481" s="1264"/>
      <c r="J481" s="1264"/>
      <c r="K481" s="1264"/>
      <c r="L481" s="1264"/>
      <c r="M481" s="1264"/>
      <c r="N481" s="1264"/>
      <c r="O481" s="1264"/>
      <c r="P481" s="1264"/>
      <c r="Q481" s="1264"/>
    </row>
    <row r="482" spans="1:17" s="896" customFormat="1" ht="14">
      <c r="A482" s="1247"/>
      <c r="B482" s="1248"/>
      <c r="C482" s="1249" t="s">
        <v>2689</v>
      </c>
      <c r="D482" s="1250"/>
      <c r="E482" s="1248"/>
      <c r="F482" s="1251" t="s">
        <v>2690</v>
      </c>
      <c r="G482" s="1252">
        <f t="shared" ref="G482:Q482" si="637">+G300</f>
        <v>16.600000000000001</v>
      </c>
      <c r="H482" s="1252">
        <f t="shared" si="637"/>
        <v>11</v>
      </c>
      <c r="I482" s="1252">
        <f t="shared" si="637"/>
        <v>16.600000000000001</v>
      </c>
      <c r="J482" s="1252">
        <f t="shared" ref="J482:L482" si="638">+J300</f>
        <v>16.600000000000001</v>
      </c>
      <c r="K482" s="1252">
        <f t="shared" si="638"/>
        <v>16.600000000000001</v>
      </c>
      <c r="L482" s="1252">
        <f t="shared" si="638"/>
        <v>16.600000000000001</v>
      </c>
      <c r="M482" s="1252">
        <f t="shared" si="637"/>
        <v>11</v>
      </c>
      <c r="N482" s="1252">
        <f t="shared" si="637"/>
        <v>16.600000000000001</v>
      </c>
      <c r="O482" s="1252">
        <f t="shared" si="637"/>
        <v>0</v>
      </c>
      <c r="P482" s="1252">
        <f t="shared" si="637"/>
        <v>0</v>
      </c>
      <c r="Q482" s="1253">
        <f t="shared" si="637"/>
        <v>0</v>
      </c>
    </row>
    <row r="483" spans="1:17" s="896" customFormat="1" ht="14">
      <c r="A483" s="2651"/>
      <c r="B483" s="2654" t="s">
        <v>2700</v>
      </c>
      <c r="C483" s="1254" t="s">
        <v>2692</v>
      </c>
      <c r="D483" s="1063"/>
      <c r="E483" s="1255"/>
      <c r="F483" s="1256" t="s">
        <v>2701</v>
      </c>
      <c r="G483" s="1257">
        <f>IF($F357&lt;=5000000,ROUND(18.03*(5000^-0.2027)*(G482^0.4017),2),ROUND(18.03*(($F357/1000)^-0.2027)*(G482^0.4017),2))</f>
        <v>9.92</v>
      </c>
      <c r="H483" s="1257">
        <f t="shared" ref="H483:Q483" si="639">IF($F357&lt;=5000000,ROUND(18.03*(5000^-0.2027)*(H482^0.4017),2),ROUND(18.03*(($F357/1000)^-0.2027)*(H482^0.4017),2))</f>
        <v>8.41</v>
      </c>
      <c r="I483" s="1257">
        <f t="shared" si="639"/>
        <v>9.92</v>
      </c>
      <c r="J483" s="1257">
        <f t="shared" ref="J483:L483" si="640">IF($F357&lt;=5000000,ROUND(18.03*(5000^-0.2027)*(J482^0.4017),2),ROUND(18.03*(($F357/1000)^-0.2027)*(J482^0.4017),2))</f>
        <v>9.92</v>
      </c>
      <c r="K483" s="1257">
        <f t="shared" si="640"/>
        <v>9.92</v>
      </c>
      <c r="L483" s="1257">
        <f t="shared" si="640"/>
        <v>9.92</v>
      </c>
      <c r="M483" s="1257">
        <f t="shared" si="639"/>
        <v>8.41</v>
      </c>
      <c r="N483" s="1257">
        <f t="shared" si="639"/>
        <v>9.92</v>
      </c>
      <c r="O483" s="1257">
        <f t="shared" si="639"/>
        <v>0</v>
      </c>
      <c r="P483" s="1257">
        <f t="shared" si="639"/>
        <v>0</v>
      </c>
      <c r="Q483" s="1326">
        <f t="shared" si="639"/>
        <v>0</v>
      </c>
    </row>
    <row r="484" spans="1:17" s="896" customFormat="1" ht="14">
      <c r="A484" s="2652"/>
      <c r="B484" s="2655"/>
      <c r="C484" s="2657" t="s">
        <v>2702</v>
      </c>
      <c r="D484" s="1133"/>
      <c r="E484" s="1258"/>
      <c r="F484" s="1256" t="s">
        <v>2695</v>
      </c>
      <c r="G484" s="1259">
        <f>IF($F357&lt;=5000000,ROUND(6.07,2),0)</f>
        <v>6.07</v>
      </c>
      <c r="H484" s="1259">
        <f t="shared" ref="H484:Q484" si="641">IF($F357&lt;=5000000,ROUND(6.07,2),0)</f>
        <v>6.07</v>
      </c>
      <c r="I484" s="1259">
        <f t="shared" si="641"/>
        <v>6.07</v>
      </c>
      <c r="J484" s="1259">
        <f t="shared" ref="J484:L484" si="642">IF($F357&lt;=5000000,ROUND(6.07,2),0)</f>
        <v>6.07</v>
      </c>
      <c r="K484" s="1259">
        <f t="shared" si="642"/>
        <v>6.07</v>
      </c>
      <c r="L484" s="1259">
        <f t="shared" si="642"/>
        <v>6.07</v>
      </c>
      <c r="M484" s="1259">
        <f t="shared" si="641"/>
        <v>6.07</v>
      </c>
      <c r="N484" s="1259">
        <f t="shared" si="641"/>
        <v>6.07</v>
      </c>
      <c r="O484" s="1259">
        <f t="shared" si="641"/>
        <v>6.07</v>
      </c>
      <c r="P484" s="1259">
        <f t="shared" si="641"/>
        <v>6.07</v>
      </c>
      <c r="Q484" s="1327">
        <f t="shared" si="641"/>
        <v>6.07</v>
      </c>
    </row>
    <row r="485" spans="1:17" s="896" customFormat="1" ht="13.5" customHeight="1">
      <c r="A485" s="2652"/>
      <c r="B485" s="2655"/>
      <c r="C485" s="2658"/>
      <c r="D485" s="1260"/>
      <c r="E485" s="1261"/>
      <c r="F485" s="1256" t="s">
        <v>2696</v>
      </c>
      <c r="G485" s="1259">
        <f>IF($F357&lt;=5000000,ROUND(3.59,2),0)</f>
        <v>3.59</v>
      </c>
      <c r="H485" s="1259">
        <f t="shared" ref="H485:Q485" si="643">IF($F357&lt;=5000000,ROUND(3.59,2),0)</f>
        <v>3.59</v>
      </c>
      <c r="I485" s="1259">
        <f t="shared" si="643"/>
        <v>3.59</v>
      </c>
      <c r="J485" s="1259">
        <f t="shared" ref="J485:L485" si="644">IF($F357&lt;=5000000,ROUND(3.59,2),0)</f>
        <v>3.59</v>
      </c>
      <c r="K485" s="1259">
        <f t="shared" si="644"/>
        <v>3.59</v>
      </c>
      <c r="L485" s="1259">
        <f t="shared" si="644"/>
        <v>3.59</v>
      </c>
      <c r="M485" s="1259">
        <f t="shared" si="643"/>
        <v>3.59</v>
      </c>
      <c r="N485" s="1259">
        <f t="shared" si="643"/>
        <v>3.59</v>
      </c>
      <c r="O485" s="1259">
        <f t="shared" si="643"/>
        <v>3.59</v>
      </c>
      <c r="P485" s="1259">
        <f t="shared" si="643"/>
        <v>3.59</v>
      </c>
      <c r="Q485" s="1327">
        <f t="shared" si="643"/>
        <v>3.59</v>
      </c>
    </row>
    <row r="486" spans="1:17" s="896" customFormat="1" ht="14">
      <c r="A486" s="2652"/>
      <c r="B486" s="2655"/>
      <c r="C486" s="2657" t="s">
        <v>2703</v>
      </c>
      <c r="D486" s="1133"/>
      <c r="E486" s="1258"/>
      <c r="F486" s="1256" t="s">
        <v>2695</v>
      </c>
      <c r="G486" s="1262">
        <f>IF($F357&gt;5000000,ROUND(11.74*($F357/1000)^-0.0774,2),0)</f>
        <v>0</v>
      </c>
      <c r="H486" s="1262">
        <f t="shared" ref="H486:Q486" si="645">IF($F357&gt;5000000,ROUND(11.74*($F357/1000)^-0.0774,2),0)</f>
        <v>0</v>
      </c>
      <c r="I486" s="1262">
        <f t="shared" si="645"/>
        <v>0</v>
      </c>
      <c r="J486" s="1262">
        <f t="shared" ref="J486:L486" si="646">IF($F357&gt;5000000,ROUND(11.74*($F357/1000)^-0.0774,2),0)</f>
        <v>0</v>
      </c>
      <c r="K486" s="1262">
        <f t="shared" si="646"/>
        <v>0</v>
      </c>
      <c r="L486" s="1262">
        <f t="shared" si="646"/>
        <v>0</v>
      </c>
      <c r="M486" s="1262">
        <f t="shared" si="645"/>
        <v>0</v>
      </c>
      <c r="N486" s="1262">
        <f t="shared" si="645"/>
        <v>0</v>
      </c>
      <c r="O486" s="1262">
        <f t="shared" si="645"/>
        <v>0</v>
      </c>
      <c r="P486" s="1262">
        <f t="shared" si="645"/>
        <v>0</v>
      </c>
      <c r="Q486" s="1328">
        <f t="shared" si="645"/>
        <v>0</v>
      </c>
    </row>
    <row r="487" spans="1:17" s="896" customFormat="1" ht="13.5" customHeight="1">
      <c r="A487" s="2653"/>
      <c r="B487" s="2656"/>
      <c r="C487" s="2658"/>
      <c r="D487" s="1260"/>
      <c r="E487" s="1261"/>
      <c r="F487" s="1256" t="s">
        <v>2696</v>
      </c>
      <c r="G487" s="1262">
        <f>IF($F357&gt;5000000,ROUND(6.94*($F357/1000)^-0.0774,2),0)</f>
        <v>0</v>
      </c>
      <c r="H487" s="1262">
        <f t="shared" ref="H487:Q487" si="647">IF($F357&gt;5000000,ROUND(6.94*($F357/1000)^-0.0774,2),0)</f>
        <v>0</v>
      </c>
      <c r="I487" s="1262">
        <f t="shared" si="647"/>
        <v>0</v>
      </c>
      <c r="J487" s="1262">
        <f t="shared" ref="J487:L487" si="648">IF($F357&gt;5000000,ROUND(6.94*($F357/1000)^-0.0774,2),0)</f>
        <v>0</v>
      </c>
      <c r="K487" s="1262">
        <f t="shared" si="648"/>
        <v>0</v>
      </c>
      <c r="L487" s="1262">
        <f t="shared" si="648"/>
        <v>0</v>
      </c>
      <c r="M487" s="1262">
        <f t="shared" si="647"/>
        <v>0</v>
      </c>
      <c r="N487" s="1262">
        <f t="shared" si="647"/>
        <v>0</v>
      </c>
      <c r="O487" s="1262">
        <f t="shared" si="647"/>
        <v>0</v>
      </c>
      <c r="P487" s="1262">
        <f t="shared" si="647"/>
        <v>0</v>
      </c>
      <c r="Q487" s="1328">
        <f t="shared" si="647"/>
        <v>0</v>
      </c>
    </row>
    <row r="488" spans="1:17" s="896" customFormat="1" ht="13.5" customHeight="1">
      <c r="A488" s="2645" t="s">
        <v>2698</v>
      </c>
      <c r="B488" s="2646"/>
      <c r="C488" s="2646"/>
      <c r="D488" s="2646"/>
      <c r="E488" s="2646"/>
      <c r="F488" s="2647"/>
      <c r="G488" s="1265">
        <f>IF($F357&lt;=5000000,IF(G$483&gt;G$484,G$484,IF(G$483&lt;G$485,G$485,G$483)),IF(G$483&gt;G$486,G$486,IF(G$483&lt;G$487,G$487,G$483)))</f>
        <v>6.07</v>
      </c>
      <c r="H488" s="1265">
        <f t="shared" ref="H488:Q488" si="649">IF($F357&lt;=5000000,IF(H$483&gt;H$484,H$484,IF(H$483&lt;H$485,H$485,H$483)),IF(H$483&gt;H$486,H$486,IF(H$483&lt;H$487,H$487,H$483)))</f>
        <v>6.07</v>
      </c>
      <c r="I488" s="1265">
        <f t="shared" si="649"/>
        <v>6.07</v>
      </c>
      <c r="J488" s="1265">
        <f t="shared" ref="J488:L488" si="650">IF($F357&lt;=5000000,IF(J$483&gt;J$484,J$484,IF(J$483&lt;J$485,J$485,J$483)),IF(J$483&gt;J$486,J$486,IF(J$483&lt;J$487,J$487,J$483)))</f>
        <v>6.07</v>
      </c>
      <c r="K488" s="1265">
        <f t="shared" si="650"/>
        <v>6.07</v>
      </c>
      <c r="L488" s="1265">
        <f t="shared" si="650"/>
        <v>6.07</v>
      </c>
      <c r="M488" s="1265">
        <f t="shared" si="649"/>
        <v>6.07</v>
      </c>
      <c r="N488" s="1265">
        <f t="shared" si="649"/>
        <v>6.07</v>
      </c>
      <c r="O488" s="1265">
        <f t="shared" si="649"/>
        <v>3.59</v>
      </c>
      <c r="P488" s="1265">
        <f t="shared" si="649"/>
        <v>3.59</v>
      </c>
      <c r="Q488" s="1329">
        <f t="shared" si="649"/>
        <v>3.59</v>
      </c>
    </row>
    <row r="489" spans="1:17" s="896" customFormat="1" ht="15" thickBot="1">
      <c r="A489" s="2648" t="s">
        <v>2699</v>
      </c>
      <c r="B489" s="2649"/>
      <c r="C489" s="2649"/>
      <c r="D489" s="2649"/>
      <c r="E489" s="2649"/>
      <c r="F489" s="2650"/>
      <c r="G489" s="1268">
        <f>ROUND(G488*IF(AND(G305="駅施設",G306="無し"),0.7,IF(AND(G305="駅施設",G306="有り"),0.7,IF(AND(G305="地上建物",G306="無し"),0.9,IF(AND(G305="地上建物",G306="有り"),1,0)))),2)</f>
        <v>4.25</v>
      </c>
      <c r="H489" s="1268">
        <f t="shared" ref="H489:Q489" si="651">ROUND(H488*IF(AND(H305="駅施設",H306="無し"),0.7,IF(AND(H305="駅施設",H306="有り"),0.7,IF(AND(H305="地上建物",H306="無し"),0.9,IF(AND(H305="地上建物",H306="有り"),1,0)))),2)</f>
        <v>4.25</v>
      </c>
      <c r="I489" s="1268">
        <f t="shared" si="651"/>
        <v>4.25</v>
      </c>
      <c r="J489" s="1268">
        <f t="shared" ref="J489:L489" si="652">ROUND(J488*IF(AND(J305="駅施設",J306="無し"),0.7,IF(AND(J305="駅施設",J306="有り"),0.7,IF(AND(J305="地上建物",J306="無し"),0.9,IF(AND(J305="地上建物",J306="有り"),1,0)))),2)</f>
        <v>4.25</v>
      </c>
      <c r="K489" s="1268">
        <f t="shared" si="652"/>
        <v>4.25</v>
      </c>
      <c r="L489" s="1268">
        <f t="shared" si="652"/>
        <v>4.25</v>
      </c>
      <c r="M489" s="1268">
        <f t="shared" si="651"/>
        <v>4.25</v>
      </c>
      <c r="N489" s="1268">
        <f t="shared" si="651"/>
        <v>4.25</v>
      </c>
      <c r="O489" s="1268">
        <f t="shared" si="651"/>
        <v>2.5099999999999998</v>
      </c>
      <c r="P489" s="1268">
        <f t="shared" si="651"/>
        <v>2.5099999999999998</v>
      </c>
      <c r="Q489" s="1268">
        <f t="shared" si="651"/>
        <v>2.5099999999999998</v>
      </c>
    </row>
    <row r="490" spans="1:17" s="896" customFormat="1" ht="15" thickBot="1">
      <c r="G490" s="1246"/>
      <c r="H490" s="1246"/>
      <c r="I490" s="1246"/>
      <c r="J490" s="1246"/>
      <c r="K490" s="1246"/>
      <c r="L490" s="1246"/>
      <c r="M490" s="1246"/>
      <c r="N490" s="1246"/>
      <c r="O490" s="1246"/>
      <c r="P490" s="1246"/>
      <c r="Q490" s="1246"/>
    </row>
    <row r="491" spans="1:17" s="896" customFormat="1" ht="14">
      <c r="A491" s="1247"/>
      <c r="B491" s="1248"/>
      <c r="C491" s="1249" t="s">
        <v>2704</v>
      </c>
      <c r="D491" s="1250"/>
      <c r="E491" s="1248"/>
      <c r="F491" s="1251" t="s">
        <v>2690</v>
      </c>
      <c r="G491" s="1252">
        <f t="shared" ref="G491:Q491" si="653">+G499</f>
        <v>16.600000000000001</v>
      </c>
      <c r="H491" s="1252">
        <f t="shared" si="653"/>
        <v>11</v>
      </c>
      <c r="I491" s="1252">
        <f t="shared" si="653"/>
        <v>16.600000000000001</v>
      </c>
      <c r="J491" s="1252">
        <f t="shared" ref="J491:L491" si="654">+J499</f>
        <v>16.600000000000001</v>
      </c>
      <c r="K491" s="1252">
        <f t="shared" si="654"/>
        <v>16.600000000000001</v>
      </c>
      <c r="L491" s="1252">
        <f t="shared" si="654"/>
        <v>16.600000000000001</v>
      </c>
      <c r="M491" s="1252">
        <f t="shared" si="653"/>
        <v>11</v>
      </c>
      <c r="N491" s="1252">
        <f t="shared" si="653"/>
        <v>16.600000000000001</v>
      </c>
      <c r="O491" s="1252">
        <f t="shared" si="653"/>
        <v>0</v>
      </c>
      <c r="P491" s="1252">
        <f t="shared" si="653"/>
        <v>0</v>
      </c>
      <c r="Q491" s="1253">
        <f t="shared" si="653"/>
        <v>0</v>
      </c>
    </row>
    <row r="492" spans="1:17" s="896" customFormat="1" ht="14">
      <c r="A492" s="2651"/>
      <c r="B492" s="2654" t="s">
        <v>2691</v>
      </c>
      <c r="C492" s="1254" t="s">
        <v>2705</v>
      </c>
      <c r="D492" s="1063"/>
      <c r="E492" s="1255"/>
      <c r="F492" s="1256" t="s">
        <v>2706</v>
      </c>
      <c r="G492" s="1257">
        <f>IF($F396&lt;=10000000,ROUND(151.08*((10000)^-0.3396)*(G491^0.586),2),ROUND(151.08*(($F396/1000)^-0.3396)*(G491^0.586),2))</f>
        <v>34.340000000000003</v>
      </c>
      <c r="H492" s="1257">
        <f t="shared" ref="H492:Q492" si="655">IF($F396&lt;=10000000,ROUND(151.08*((10000)^-0.3396)*(H491^0.586),2),ROUND(151.08*(($F396/1000)^-0.3396)*(H491^0.586),2))</f>
        <v>26.98</v>
      </c>
      <c r="I492" s="1257">
        <f t="shared" si="655"/>
        <v>34.340000000000003</v>
      </c>
      <c r="J492" s="1257">
        <f t="shared" ref="J492:L492" si="656">IF($F396&lt;=10000000,ROUND(151.08*((10000)^-0.3396)*(J491^0.586),2),ROUND(151.08*(($F396/1000)^-0.3396)*(J491^0.586),2))</f>
        <v>34.340000000000003</v>
      </c>
      <c r="K492" s="1257">
        <f t="shared" si="656"/>
        <v>34.340000000000003</v>
      </c>
      <c r="L492" s="1257">
        <f t="shared" si="656"/>
        <v>34.340000000000003</v>
      </c>
      <c r="M492" s="1257">
        <f t="shared" si="655"/>
        <v>26.98</v>
      </c>
      <c r="N492" s="1257">
        <f t="shared" si="655"/>
        <v>34.340000000000003</v>
      </c>
      <c r="O492" s="1257">
        <f t="shared" si="655"/>
        <v>0</v>
      </c>
      <c r="P492" s="1257">
        <f t="shared" si="655"/>
        <v>0</v>
      </c>
      <c r="Q492" s="1326">
        <f t="shared" si="655"/>
        <v>0</v>
      </c>
    </row>
    <row r="493" spans="1:17" s="896" customFormat="1" ht="14">
      <c r="A493" s="2652"/>
      <c r="B493" s="2655"/>
      <c r="C493" s="2657" t="s">
        <v>2707</v>
      </c>
      <c r="D493" s="1133"/>
      <c r="E493" s="1258"/>
      <c r="F493" s="1256" t="s">
        <v>2695</v>
      </c>
      <c r="G493" s="1259">
        <f>IF($F396&lt;=10000000,ROUND(20.13,2),0)</f>
        <v>20.13</v>
      </c>
      <c r="H493" s="1259">
        <f t="shared" ref="H493:Q493" si="657">IF($F396&lt;=10000000,ROUND(20.13,2),0)</f>
        <v>20.13</v>
      </c>
      <c r="I493" s="1259">
        <f t="shared" si="657"/>
        <v>20.13</v>
      </c>
      <c r="J493" s="1259">
        <f t="shared" ref="J493:L493" si="658">IF($F396&lt;=10000000,ROUND(20.13,2),0)</f>
        <v>20.13</v>
      </c>
      <c r="K493" s="1259">
        <f t="shared" si="658"/>
        <v>20.13</v>
      </c>
      <c r="L493" s="1259">
        <f t="shared" si="658"/>
        <v>20.13</v>
      </c>
      <c r="M493" s="1259">
        <f t="shared" si="657"/>
        <v>20.13</v>
      </c>
      <c r="N493" s="1259">
        <f t="shared" si="657"/>
        <v>20.13</v>
      </c>
      <c r="O493" s="1259">
        <f t="shared" si="657"/>
        <v>20.13</v>
      </c>
      <c r="P493" s="1259">
        <f t="shared" si="657"/>
        <v>20.13</v>
      </c>
      <c r="Q493" s="1327">
        <f t="shared" si="657"/>
        <v>20.13</v>
      </c>
    </row>
    <row r="494" spans="1:17" s="896" customFormat="1" ht="13.5" customHeight="1">
      <c r="A494" s="2652"/>
      <c r="B494" s="2655"/>
      <c r="C494" s="2658"/>
      <c r="D494" s="1260"/>
      <c r="E494" s="1261"/>
      <c r="F494" s="1256" t="s">
        <v>2696</v>
      </c>
      <c r="G494" s="1259">
        <f>IF($F396&lt;=10000000,ROUND(10.01,2),0)</f>
        <v>10.01</v>
      </c>
      <c r="H494" s="1259">
        <f t="shared" ref="H494:Q494" si="659">IF($F396&lt;=10000000,ROUND(10.01,2),0)</f>
        <v>10.01</v>
      </c>
      <c r="I494" s="1259">
        <f t="shared" si="659"/>
        <v>10.01</v>
      </c>
      <c r="J494" s="1259">
        <f t="shared" ref="J494:L494" si="660">IF($F396&lt;=10000000,ROUND(10.01,2),0)</f>
        <v>10.01</v>
      </c>
      <c r="K494" s="1259">
        <f t="shared" si="660"/>
        <v>10.01</v>
      </c>
      <c r="L494" s="1259">
        <f t="shared" si="660"/>
        <v>10.01</v>
      </c>
      <c r="M494" s="1259">
        <f t="shared" si="659"/>
        <v>10.01</v>
      </c>
      <c r="N494" s="1259">
        <f t="shared" si="659"/>
        <v>10.01</v>
      </c>
      <c r="O494" s="1259">
        <f t="shared" si="659"/>
        <v>10.01</v>
      </c>
      <c r="P494" s="1259">
        <f t="shared" si="659"/>
        <v>10.01</v>
      </c>
      <c r="Q494" s="1327">
        <f t="shared" si="659"/>
        <v>10.01</v>
      </c>
    </row>
    <row r="495" spans="1:17" s="896" customFormat="1" ht="14">
      <c r="A495" s="2652"/>
      <c r="B495" s="2655"/>
      <c r="C495" s="2657" t="s">
        <v>2708</v>
      </c>
      <c r="D495" s="1133"/>
      <c r="E495" s="1258"/>
      <c r="F495" s="1256" t="s">
        <v>2695</v>
      </c>
      <c r="G495" s="1262">
        <f>IF($F396&gt;10000000,ROUND(75.97*($F396/1000)^-0.1442,2),0)</f>
        <v>0</v>
      </c>
      <c r="H495" s="1262">
        <f t="shared" ref="H495:Q495" si="661">IF($F396&gt;10000000,ROUND(75.97*($F396/1000)^-0.1442,2),0)</f>
        <v>0</v>
      </c>
      <c r="I495" s="1262">
        <f t="shared" si="661"/>
        <v>0</v>
      </c>
      <c r="J495" s="1262">
        <f t="shared" ref="J495:L495" si="662">IF($F396&gt;10000000,ROUND(75.97*($F396/1000)^-0.1442,2),0)</f>
        <v>0</v>
      </c>
      <c r="K495" s="1262">
        <f t="shared" si="662"/>
        <v>0</v>
      </c>
      <c r="L495" s="1262">
        <f t="shared" si="662"/>
        <v>0</v>
      </c>
      <c r="M495" s="1262">
        <f t="shared" si="661"/>
        <v>0</v>
      </c>
      <c r="N495" s="1262">
        <f t="shared" si="661"/>
        <v>0</v>
      </c>
      <c r="O495" s="1262">
        <f t="shared" si="661"/>
        <v>0</v>
      </c>
      <c r="P495" s="1262">
        <f t="shared" si="661"/>
        <v>0</v>
      </c>
      <c r="Q495" s="1328">
        <f t="shared" si="661"/>
        <v>0</v>
      </c>
    </row>
    <row r="496" spans="1:17" s="896" customFormat="1" ht="13.5" customHeight="1">
      <c r="A496" s="2653"/>
      <c r="B496" s="2656"/>
      <c r="C496" s="2658"/>
      <c r="D496" s="1260"/>
      <c r="E496" s="1261"/>
      <c r="F496" s="1256" t="s">
        <v>2696</v>
      </c>
      <c r="G496" s="1262">
        <f>IF($F396&gt;10000000,ROUND(37.76*($F396/1000)^-0.1442,2),0)</f>
        <v>0</v>
      </c>
      <c r="H496" s="1262">
        <f t="shared" ref="H496:Q496" si="663">IF($F396&gt;10000000,ROUND(37.76*($F396/1000)^-0.1442,2),0)</f>
        <v>0</v>
      </c>
      <c r="I496" s="1262">
        <f t="shared" si="663"/>
        <v>0</v>
      </c>
      <c r="J496" s="1262">
        <f t="shared" ref="J496:L496" si="664">IF($F396&gt;10000000,ROUND(37.76*($F396/1000)^-0.1442,2),0)</f>
        <v>0</v>
      </c>
      <c r="K496" s="1262">
        <f t="shared" si="664"/>
        <v>0</v>
      </c>
      <c r="L496" s="1262">
        <f t="shared" si="664"/>
        <v>0</v>
      </c>
      <c r="M496" s="1262">
        <f t="shared" si="663"/>
        <v>0</v>
      </c>
      <c r="N496" s="1262">
        <f t="shared" si="663"/>
        <v>0</v>
      </c>
      <c r="O496" s="1262">
        <f t="shared" si="663"/>
        <v>0</v>
      </c>
      <c r="P496" s="1262">
        <f t="shared" si="663"/>
        <v>0</v>
      </c>
      <c r="Q496" s="1328">
        <f t="shared" si="663"/>
        <v>0</v>
      </c>
    </row>
    <row r="497" spans="1:17" s="896" customFormat="1" ht="15" thickBot="1">
      <c r="A497" s="2660" t="s">
        <v>2709</v>
      </c>
      <c r="B497" s="2661"/>
      <c r="C497" s="2661"/>
      <c r="D497" s="2661"/>
      <c r="E497" s="1266"/>
      <c r="F497" s="1267"/>
      <c r="G497" s="1268">
        <f>IF($F396&lt;=10000000,IF(G$492&gt;G$493,G$493,IF(G$492&lt;G$494,G$494,G$492)),IF(G$492&gt;G$495,G$495,IF(G$492&lt;G$496,G$496,G$492)))</f>
        <v>20.13</v>
      </c>
      <c r="H497" s="1268">
        <f t="shared" ref="H497:Q497" si="665">IF($F396&lt;=10000000,IF(H$492&gt;H$493,H$493,IF(H$492&lt;H$494,H$494,H$492)),IF(H$492&gt;H$495,H$495,IF(H$492&lt;H$496,H$496,H$492)))</f>
        <v>20.13</v>
      </c>
      <c r="I497" s="1268">
        <f t="shared" si="665"/>
        <v>20.13</v>
      </c>
      <c r="J497" s="1268">
        <f t="shared" ref="J497:L497" si="666">IF($F396&lt;=10000000,IF(J$492&gt;J$493,J$493,IF(J$492&lt;J$494,J$494,J$492)),IF(J$492&gt;J$495,J$495,IF(J$492&lt;J$496,J$496,J$492)))</f>
        <v>20.13</v>
      </c>
      <c r="K497" s="1268">
        <f t="shared" si="666"/>
        <v>20.13</v>
      </c>
      <c r="L497" s="1268">
        <f t="shared" si="666"/>
        <v>20.13</v>
      </c>
      <c r="M497" s="1268">
        <f t="shared" si="665"/>
        <v>20.13</v>
      </c>
      <c r="N497" s="1268">
        <f t="shared" si="665"/>
        <v>20.13</v>
      </c>
      <c r="O497" s="1268">
        <f t="shared" si="665"/>
        <v>10.01</v>
      </c>
      <c r="P497" s="1268">
        <f t="shared" si="665"/>
        <v>10.01</v>
      </c>
      <c r="Q497" s="1330">
        <f t="shared" si="665"/>
        <v>10.01</v>
      </c>
    </row>
    <row r="498" spans="1:17" s="896" customFormat="1" ht="15" thickBot="1">
      <c r="G498" s="1264"/>
      <c r="H498" s="1264"/>
      <c r="I498" s="1264"/>
      <c r="J498" s="1264"/>
      <c r="K498" s="1264"/>
      <c r="L498" s="1264"/>
      <c r="M498" s="1264"/>
      <c r="N498" s="1264"/>
      <c r="O498" s="1264"/>
      <c r="P498" s="1264"/>
      <c r="Q498" s="1264"/>
    </row>
    <row r="499" spans="1:17" s="896" customFormat="1" ht="14">
      <c r="A499" s="1247"/>
      <c r="B499" s="1248"/>
      <c r="C499" s="1249" t="s">
        <v>2704</v>
      </c>
      <c r="D499" s="1250"/>
      <c r="E499" s="1248"/>
      <c r="F499" s="1251" t="s">
        <v>2690</v>
      </c>
      <c r="G499" s="1252">
        <f t="shared" ref="G499:Q499" si="667">+G300</f>
        <v>16.600000000000001</v>
      </c>
      <c r="H499" s="1252">
        <f t="shared" si="667"/>
        <v>11</v>
      </c>
      <c r="I499" s="1252">
        <f t="shared" si="667"/>
        <v>16.600000000000001</v>
      </c>
      <c r="J499" s="1252">
        <f t="shared" ref="J499:L499" si="668">+J300</f>
        <v>16.600000000000001</v>
      </c>
      <c r="K499" s="1252">
        <f t="shared" si="668"/>
        <v>16.600000000000001</v>
      </c>
      <c r="L499" s="1252">
        <f t="shared" si="668"/>
        <v>16.600000000000001</v>
      </c>
      <c r="M499" s="1252">
        <f t="shared" si="667"/>
        <v>11</v>
      </c>
      <c r="N499" s="1252">
        <f t="shared" si="667"/>
        <v>16.600000000000001</v>
      </c>
      <c r="O499" s="1252">
        <f t="shared" si="667"/>
        <v>0</v>
      </c>
      <c r="P499" s="1252">
        <f t="shared" si="667"/>
        <v>0</v>
      </c>
      <c r="Q499" s="1253">
        <f t="shared" si="667"/>
        <v>0</v>
      </c>
    </row>
    <row r="500" spans="1:17" s="896" customFormat="1" ht="14">
      <c r="A500" s="2651"/>
      <c r="B500" s="2654" t="s">
        <v>2700</v>
      </c>
      <c r="C500" s="1254" t="s">
        <v>2705</v>
      </c>
      <c r="D500" s="1063"/>
      <c r="E500" s="1255"/>
      <c r="F500" s="1256" t="s">
        <v>2706</v>
      </c>
      <c r="G500" s="1257">
        <f>IF($F396&lt;=5000000,ROUND(356.2*((5000)^-0.4085)*(G499^0.5766),2),ROUND(356.2*(($F396/1000)^-0.4085)*(G499^0.5766),2))</f>
        <v>55.49</v>
      </c>
      <c r="H500" s="1257">
        <f t="shared" ref="H500:Q500" si="669">IF($F396&lt;=5000000,ROUND(356.2*((5000)^-0.4085)*(H499^0.5766),2),ROUND(356.2*(($F396/1000)^-0.4085)*(H499^0.5766),2))</f>
        <v>43.77</v>
      </c>
      <c r="I500" s="1257">
        <f t="shared" si="669"/>
        <v>55.49</v>
      </c>
      <c r="J500" s="1257">
        <f t="shared" ref="J500:L500" si="670">IF($F396&lt;=5000000,ROUND(356.2*((5000)^-0.4085)*(J499^0.5766),2),ROUND(356.2*(($F396/1000)^-0.4085)*(J499^0.5766),2))</f>
        <v>55.49</v>
      </c>
      <c r="K500" s="1257">
        <f t="shared" si="670"/>
        <v>55.49</v>
      </c>
      <c r="L500" s="1257">
        <f t="shared" si="670"/>
        <v>55.49</v>
      </c>
      <c r="M500" s="1257">
        <f t="shared" si="669"/>
        <v>43.77</v>
      </c>
      <c r="N500" s="1257">
        <f t="shared" si="669"/>
        <v>55.49</v>
      </c>
      <c r="O500" s="1257">
        <f t="shared" si="669"/>
        <v>0</v>
      </c>
      <c r="P500" s="1257">
        <f t="shared" si="669"/>
        <v>0</v>
      </c>
      <c r="Q500" s="1326">
        <f t="shared" si="669"/>
        <v>0</v>
      </c>
    </row>
    <row r="501" spans="1:17" s="896" customFormat="1" ht="14">
      <c r="A501" s="2652"/>
      <c r="B501" s="2655"/>
      <c r="C501" s="2657" t="s">
        <v>2710</v>
      </c>
      <c r="D501" s="1133"/>
      <c r="E501" s="1258"/>
      <c r="F501" s="1256" t="s">
        <v>2695</v>
      </c>
      <c r="G501" s="1259">
        <f>IF($F396&lt;=5000000,ROUND(26.86,2),0)</f>
        <v>26.86</v>
      </c>
      <c r="H501" s="1259">
        <f t="shared" ref="H501:Q501" si="671">IF($F396&lt;=5000000,ROUND(26.86,2),0)</f>
        <v>26.86</v>
      </c>
      <c r="I501" s="1259">
        <f t="shared" si="671"/>
        <v>26.86</v>
      </c>
      <c r="J501" s="1259">
        <f t="shared" ref="J501:L501" si="672">IF($F396&lt;=5000000,ROUND(26.86,2),0)</f>
        <v>26.86</v>
      </c>
      <c r="K501" s="1259">
        <f t="shared" si="672"/>
        <v>26.86</v>
      </c>
      <c r="L501" s="1259">
        <f t="shared" si="672"/>
        <v>26.86</v>
      </c>
      <c r="M501" s="1259">
        <f t="shared" si="671"/>
        <v>26.86</v>
      </c>
      <c r="N501" s="1259">
        <f t="shared" si="671"/>
        <v>26.86</v>
      </c>
      <c r="O501" s="1259">
        <f t="shared" si="671"/>
        <v>26.86</v>
      </c>
      <c r="P501" s="1259">
        <f t="shared" si="671"/>
        <v>26.86</v>
      </c>
      <c r="Q501" s="1327">
        <f t="shared" si="671"/>
        <v>26.86</v>
      </c>
    </row>
    <row r="502" spans="1:17" s="896" customFormat="1" ht="13.5" customHeight="1">
      <c r="A502" s="2652"/>
      <c r="B502" s="2655"/>
      <c r="C502" s="2658"/>
      <c r="D502" s="1260"/>
      <c r="E502" s="1261"/>
      <c r="F502" s="1256" t="s">
        <v>2696</v>
      </c>
      <c r="G502" s="1259">
        <f>IF($F396&lt;=5000000,ROUND(12.7,2),0)</f>
        <v>12.7</v>
      </c>
      <c r="H502" s="1259">
        <f t="shared" ref="H502:Q502" si="673">IF($F396&lt;=5000000,ROUND(12.7,2),0)</f>
        <v>12.7</v>
      </c>
      <c r="I502" s="1259">
        <f t="shared" si="673"/>
        <v>12.7</v>
      </c>
      <c r="J502" s="1259">
        <f t="shared" ref="J502:L502" si="674">IF($F396&lt;=5000000,ROUND(12.7,2),0)</f>
        <v>12.7</v>
      </c>
      <c r="K502" s="1259">
        <f t="shared" si="674"/>
        <v>12.7</v>
      </c>
      <c r="L502" s="1259">
        <f t="shared" si="674"/>
        <v>12.7</v>
      </c>
      <c r="M502" s="1259">
        <f t="shared" si="673"/>
        <v>12.7</v>
      </c>
      <c r="N502" s="1259">
        <f t="shared" si="673"/>
        <v>12.7</v>
      </c>
      <c r="O502" s="1259">
        <f t="shared" si="673"/>
        <v>12.7</v>
      </c>
      <c r="P502" s="1259">
        <f t="shared" si="673"/>
        <v>12.7</v>
      </c>
      <c r="Q502" s="1327">
        <f t="shared" si="673"/>
        <v>12.7</v>
      </c>
    </row>
    <row r="503" spans="1:17" s="896" customFormat="1" ht="14">
      <c r="A503" s="2652"/>
      <c r="B503" s="2655"/>
      <c r="C503" s="2657" t="s">
        <v>2711</v>
      </c>
      <c r="D503" s="1133"/>
      <c r="E503" s="1258"/>
      <c r="F503" s="1256" t="s">
        <v>2695</v>
      </c>
      <c r="G503" s="1262">
        <f>IF($F396&gt;5000000,ROUND(184.58*($F396/1000)^-0.2263,2),0)</f>
        <v>0</v>
      </c>
      <c r="H503" s="1262">
        <f t="shared" ref="H503:Q503" si="675">IF($F396&gt;5000000,ROUND(184.58*($F396/1000)^-0.2263,2),0)</f>
        <v>0</v>
      </c>
      <c r="I503" s="1262">
        <f t="shared" si="675"/>
        <v>0</v>
      </c>
      <c r="J503" s="1262">
        <f t="shared" ref="J503:L503" si="676">IF($F396&gt;5000000,ROUND(184.58*($F396/1000)^-0.2263,2),0)</f>
        <v>0</v>
      </c>
      <c r="K503" s="1262">
        <f t="shared" si="676"/>
        <v>0</v>
      </c>
      <c r="L503" s="1262">
        <f t="shared" si="676"/>
        <v>0</v>
      </c>
      <c r="M503" s="1262">
        <f t="shared" si="675"/>
        <v>0</v>
      </c>
      <c r="N503" s="1262">
        <f t="shared" si="675"/>
        <v>0</v>
      </c>
      <c r="O503" s="1262">
        <f t="shared" si="675"/>
        <v>0</v>
      </c>
      <c r="P503" s="1262">
        <f t="shared" si="675"/>
        <v>0</v>
      </c>
      <c r="Q503" s="1328">
        <f t="shared" si="675"/>
        <v>0</v>
      </c>
    </row>
    <row r="504" spans="1:17" s="896" customFormat="1" ht="13.5" customHeight="1">
      <c r="A504" s="2653"/>
      <c r="B504" s="2656"/>
      <c r="C504" s="2658"/>
      <c r="D504" s="1260"/>
      <c r="E504" s="1261"/>
      <c r="F504" s="1256" t="s">
        <v>2696</v>
      </c>
      <c r="G504" s="1262">
        <f>IF($F396&gt;5000000,ROUND(87.29*($F396/1000)^-0.2263,2),0)</f>
        <v>0</v>
      </c>
      <c r="H504" s="1262">
        <f t="shared" ref="H504:Q504" si="677">IF($F396&gt;5000000,ROUND(87.29*($F396/1000)^-0.2263,2),0)</f>
        <v>0</v>
      </c>
      <c r="I504" s="1262">
        <f t="shared" si="677"/>
        <v>0</v>
      </c>
      <c r="J504" s="1262">
        <f t="shared" ref="J504:L504" si="678">IF($F396&gt;5000000,ROUND(87.29*($F396/1000)^-0.2263,2),0)</f>
        <v>0</v>
      </c>
      <c r="K504" s="1262">
        <f t="shared" si="678"/>
        <v>0</v>
      </c>
      <c r="L504" s="1262">
        <f t="shared" si="678"/>
        <v>0</v>
      </c>
      <c r="M504" s="1262">
        <f t="shared" si="677"/>
        <v>0</v>
      </c>
      <c r="N504" s="1262">
        <f t="shared" si="677"/>
        <v>0</v>
      </c>
      <c r="O504" s="1262">
        <f t="shared" si="677"/>
        <v>0</v>
      </c>
      <c r="P504" s="1262">
        <f t="shared" si="677"/>
        <v>0</v>
      </c>
      <c r="Q504" s="1328">
        <f t="shared" si="677"/>
        <v>0</v>
      </c>
    </row>
    <row r="505" spans="1:17" s="896" customFormat="1" ht="15" thickBot="1">
      <c r="A505" s="2660" t="s">
        <v>2709</v>
      </c>
      <c r="B505" s="2661"/>
      <c r="C505" s="2661"/>
      <c r="D505" s="2661"/>
      <c r="E505" s="1269"/>
      <c r="F505" s="1267"/>
      <c r="G505" s="1270">
        <f>IF($F396&lt;=5000000,IF(G$500&gt;G$501,G$501,IF(G$500&lt;G$502,G$502,G$500)),IF(G$500&gt;G$503,G$503,IF(G$500&lt;G$504,G$504,G$500)))</f>
        <v>26.86</v>
      </c>
      <c r="H505" s="1270">
        <f t="shared" ref="H505:Q505" si="679">IF($F396&lt;=5000000,IF(H$500&gt;H$501,H$501,IF(H$500&lt;H$502,H$502,H$500)),IF(H$500&gt;H$503,H$503,IF(H$500&lt;H$504,H$504,H$500)))</f>
        <v>26.86</v>
      </c>
      <c r="I505" s="1270">
        <f t="shared" si="679"/>
        <v>26.86</v>
      </c>
      <c r="J505" s="1270">
        <f t="shared" ref="J505:L505" si="680">IF($F396&lt;=5000000,IF(J$500&gt;J$501,J$501,IF(J$500&lt;J$502,J$502,J$500)),IF(J$500&gt;J$503,J$503,IF(J$500&lt;J$504,J$504,J$500)))</f>
        <v>26.86</v>
      </c>
      <c r="K505" s="1270">
        <f t="shared" si="680"/>
        <v>26.86</v>
      </c>
      <c r="L505" s="1270">
        <f t="shared" si="680"/>
        <v>26.86</v>
      </c>
      <c r="M505" s="1270">
        <f t="shared" si="679"/>
        <v>26.86</v>
      </c>
      <c r="N505" s="1270">
        <f t="shared" si="679"/>
        <v>26.86</v>
      </c>
      <c r="O505" s="1270">
        <f t="shared" si="679"/>
        <v>12.7</v>
      </c>
      <c r="P505" s="1270">
        <f t="shared" si="679"/>
        <v>12.7</v>
      </c>
      <c r="Q505" s="1331">
        <f t="shared" si="679"/>
        <v>12.7</v>
      </c>
    </row>
    <row r="506" spans="1:17" s="896" customFormat="1" ht="15" thickBot="1">
      <c r="G506" s="1246"/>
      <c r="H506" s="1246"/>
      <c r="I506" s="1246"/>
      <c r="J506" s="1246"/>
      <c r="K506" s="1246"/>
      <c r="L506" s="1246"/>
      <c r="M506" s="1246"/>
      <c r="N506" s="1246"/>
      <c r="O506" s="1246"/>
      <c r="P506" s="1246"/>
      <c r="Q506" s="1246"/>
    </row>
    <row r="507" spans="1:17" s="896" customFormat="1" ht="14">
      <c r="A507" s="1247"/>
      <c r="B507" s="1248"/>
      <c r="C507" s="1249" t="s">
        <v>2712</v>
      </c>
      <c r="D507" s="1250"/>
      <c r="E507" s="1248"/>
      <c r="F507" s="1251"/>
      <c r="G507" s="1271"/>
      <c r="H507" s="1272"/>
      <c r="I507" s="1273"/>
      <c r="J507" s="1273"/>
      <c r="K507" s="1273"/>
      <c r="L507" s="1273"/>
      <c r="M507" s="1273"/>
      <c r="N507" s="1273"/>
      <c r="O507" s="1273"/>
      <c r="P507" s="1273"/>
      <c r="Q507" s="1273"/>
    </row>
    <row r="508" spans="1:17" s="896" customFormat="1" ht="14">
      <c r="A508" s="2651"/>
      <c r="B508" s="2654" t="s">
        <v>79</v>
      </c>
      <c r="C508" s="1254" t="s">
        <v>2713</v>
      </c>
      <c r="D508" s="1063"/>
      <c r="E508" s="1255"/>
      <c r="F508" s="1256" t="s">
        <v>2714</v>
      </c>
      <c r="G508" s="1274">
        <f>ROUND(28.978-3.173*LOG($F439/1000),2)</f>
        <v>11.07</v>
      </c>
      <c r="H508" s="1275"/>
      <c r="I508" s="1276"/>
      <c r="J508" s="1276"/>
      <c r="K508" s="1276"/>
      <c r="L508" s="1276"/>
      <c r="M508" s="1276"/>
      <c r="N508" s="1276"/>
      <c r="O508" s="1276"/>
      <c r="P508" s="1276"/>
      <c r="Q508" s="1276"/>
    </row>
    <row r="509" spans="1:17" s="896" customFormat="1" ht="13.5" customHeight="1">
      <c r="A509" s="2652"/>
      <c r="B509" s="2655"/>
      <c r="C509" s="1277" t="s">
        <v>2715</v>
      </c>
      <c r="D509" s="1133"/>
      <c r="E509" s="1133"/>
      <c r="F509" s="1278"/>
      <c r="G509" s="1279">
        <f>IF($F439&lt;=5000000,17.24,0)</f>
        <v>0</v>
      </c>
      <c r="H509" s="1280"/>
      <c r="I509" s="1281"/>
      <c r="J509" s="147"/>
      <c r="K509" s="1281"/>
      <c r="L509" s="1281"/>
      <c r="M509" s="147"/>
      <c r="N509" s="1281"/>
      <c r="O509" s="1281"/>
      <c r="P509" s="1281"/>
      <c r="Q509" s="1281"/>
    </row>
    <row r="510" spans="1:17" s="896" customFormat="1" ht="14">
      <c r="A510" s="2653"/>
      <c r="B510" s="2656"/>
      <c r="C510" s="1277" t="s">
        <v>2716</v>
      </c>
      <c r="D510" s="1133"/>
      <c r="E510" s="1063"/>
      <c r="F510" s="1278"/>
      <c r="G510" s="1279">
        <f>IF($F439&gt;3000000000,8.43,0)</f>
        <v>0</v>
      </c>
      <c r="H510" s="1282"/>
      <c r="I510" s="1283"/>
      <c r="J510" s="1283"/>
      <c r="K510" s="1283"/>
      <c r="L510" s="1283"/>
      <c r="M510" s="1283"/>
      <c r="N510" s="1283"/>
      <c r="O510" s="1283"/>
      <c r="P510" s="1283"/>
      <c r="Q510" s="1283"/>
    </row>
    <row r="511" spans="1:17" s="896" customFormat="1" ht="15" thickBot="1">
      <c r="A511" s="2660" t="s">
        <v>2717</v>
      </c>
      <c r="B511" s="2661"/>
      <c r="C511" s="2661"/>
      <c r="D511" s="2661"/>
      <c r="E511" s="1269"/>
      <c r="F511" s="1267"/>
      <c r="G511" s="1284">
        <f>IF($F439&lt;=5000000,G509,IF($F439&gt;3000000000,G510,G508))</f>
        <v>11.07</v>
      </c>
      <c r="H511" s="1285"/>
      <c r="I511" s="1286"/>
      <c r="J511" s="1286"/>
      <c r="K511" s="1286"/>
      <c r="L511" s="1286"/>
      <c r="M511" s="1286"/>
      <c r="N511" s="1286"/>
      <c r="O511" s="1286"/>
      <c r="P511" s="1286"/>
      <c r="Q511" s="1286"/>
    </row>
  </sheetData>
  <sheetProtection selectLockedCells="1" selectUnlockedCells="1"/>
  <mergeCells count="167">
    <mergeCell ref="F1:N1"/>
    <mergeCell ref="C2:E2"/>
    <mergeCell ref="B4:D4"/>
    <mergeCell ref="B5:D5"/>
    <mergeCell ref="B6:D6"/>
    <mergeCell ref="A10:F10"/>
    <mergeCell ref="A46:C46"/>
    <mergeCell ref="A47:A60"/>
    <mergeCell ref="B47:B50"/>
    <mergeCell ref="B51:B57"/>
    <mergeCell ref="B61:C61"/>
    <mergeCell ref="B62:C62"/>
    <mergeCell ref="A11:F11"/>
    <mergeCell ref="A12:F12"/>
    <mergeCell ref="A26:A45"/>
    <mergeCell ref="B26:B29"/>
    <mergeCell ref="B30:B38"/>
    <mergeCell ref="B39:B45"/>
    <mergeCell ref="B71:C71"/>
    <mergeCell ref="B72:C72"/>
    <mergeCell ref="B73:C73"/>
    <mergeCell ref="B77:B78"/>
    <mergeCell ref="B80:B81"/>
    <mergeCell ref="A88:F88"/>
    <mergeCell ref="B63:C63"/>
    <mergeCell ref="B64:C64"/>
    <mergeCell ref="B65:C65"/>
    <mergeCell ref="B66:C66"/>
    <mergeCell ref="B68:C68"/>
    <mergeCell ref="B70:C70"/>
    <mergeCell ref="D139:D140"/>
    <mergeCell ref="E139:E140"/>
    <mergeCell ref="A140:C140"/>
    <mergeCell ref="A141:A155"/>
    <mergeCell ref="B142:B145"/>
    <mergeCell ref="B146:B154"/>
    <mergeCell ref="A89:F89"/>
    <mergeCell ref="A90:F90"/>
    <mergeCell ref="A117:A136"/>
    <mergeCell ref="B117:B120"/>
    <mergeCell ref="B121:B129"/>
    <mergeCell ref="B130:B136"/>
    <mergeCell ref="D178:D179"/>
    <mergeCell ref="E178:E179"/>
    <mergeCell ref="A179:C179"/>
    <mergeCell ref="A180:A194"/>
    <mergeCell ref="B181:B184"/>
    <mergeCell ref="B185:B193"/>
    <mergeCell ref="D156:D157"/>
    <mergeCell ref="E156:E157"/>
    <mergeCell ref="A157:C157"/>
    <mergeCell ref="A158:A173"/>
    <mergeCell ref="B158:B163"/>
    <mergeCell ref="B164:B172"/>
    <mergeCell ref="A220:C221"/>
    <mergeCell ref="C224:E224"/>
    <mergeCell ref="F225:G225"/>
    <mergeCell ref="A226:C226"/>
    <mergeCell ref="F226:G226"/>
    <mergeCell ref="A227:A234"/>
    <mergeCell ref="B228:B229"/>
    <mergeCell ref="B232:B234"/>
    <mergeCell ref="D195:D196"/>
    <mergeCell ref="E195:E196"/>
    <mergeCell ref="A196:C196"/>
    <mergeCell ref="A197:A214"/>
    <mergeCell ref="B197:B202"/>
    <mergeCell ref="B203:B211"/>
    <mergeCell ref="B212:B213"/>
    <mergeCell ref="A264:F264"/>
    <mergeCell ref="A265:F265"/>
    <mergeCell ref="A268:A272"/>
    <mergeCell ref="B268:B272"/>
    <mergeCell ref="C269:C270"/>
    <mergeCell ref="C271:C272"/>
    <mergeCell ref="A236:C236"/>
    <mergeCell ref="B238:B239"/>
    <mergeCell ref="B242:B244"/>
    <mergeCell ref="B245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3:A352"/>
    <mergeCell ref="B333:B336"/>
    <mergeCell ref="B337:B345"/>
    <mergeCell ref="B346:B352"/>
    <mergeCell ref="D355:D356"/>
    <mergeCell ref="E355:E356"/>
    <mergeCell ref="A356:C356"/>
    <mergeCell ref="A293:A295"/>
    <mergeCell ref="B293:B295"/>
    <mergeCell ref="A296:D296"/>
    <mergeCell ref="A304:F304"/>
    <mergeCell ref="A305:F305"/>
    <mergeCell ref="A306:F306"/>
    <mergeCell ref="A374:A389"/>
    <mergeCell ref="B374:B379"/>
    <mergeCell ref="B380:B388"/>
    <mergeCell ref="D394:D395"/>
    <mergeCell ref="E394:E395"/>
    <mergeCell ref="A395:C395"/>
    <mergeCell ref="A357:A371"/>
    <mergeCell ref="B358:B361"/>
    <mergeCell ref="B362:B370"/>
    <mergeCell ref="D372:D373"/>
    <mergeCell ref="E372:E373"/>
    <mergeCell ref="A373:C373"/>
    <mergeCell ref="A413:A430"/>
    <mergeCell ref="B413:B418"/>
    <mergeCell ref="B419:B427"/>
    <mergeCell ref="B428:B429"/>
    <mergeCell ref="A435:C436"/>
    <mergeCell ref="C439:E439"/>
    <mergeCell ref="A396:A410"/>
    <mergeCell ref="B397:B400"/>
    <mergeCell ref="B401:B409"/>
    <mergeCell ref="D411:D412"/>
    <mergeCell ref="E411:E412"/>
    <mergeCell ref="A412:C412"/>
    <mergeCell ref="A451:C451"/>
    <mergeCell ref="B453:B454"/>
    <mergeCell ref="B457:B459"/>
    <mergeCell ref="B460:B461"/>
    <mergeCell ref="A474:A478"/>
    <mergeCell ref="B474:B478"/>
    <mergeCell ref="C475:C476"/>
    <mergeCell ref="C477:C478"/>
    <mergeCell ref="F440:G440"/>
    <mergeCell ref="A441:C441"/>
    <mergeCell ref="F441:G441"/>
    <mergeCell ref="A442:A449"/>
    <mergeCell ref="B443:B444"/>
    <mergeCell ref="B447:B449"/>
    <mergeCell ref="A488:F488"/>
    <mergeCell ref="A489:F489"/>
    <mergeCell ref="A492:A496"/>
    <mergeCell ref="B492:B496"/>
    <mergeCell ref="C493:C494"/>
    <mergeCell ref="C495:C496"/>
    <mergeCell ref="A479:F479"/>
    <mergeCell ref="A480:F480"/>
    <mergeCell ref="A483:A487"/>
    <mergeCell ref="B483:B487"/>
    <mergeCell ref="C484:C485"/>
    <mergeCell ref="C486:C487"/>
    <mergeCell ref="A508:A510"/>
    <mergeCell ref="B508:B510"/>
    <mergeCell ref="A511:D511"/>
    <mergeCell ref="A497:D497"/>
    <mergeCell ref="A500:A504"/>
    <mergeCell ref="B500:B504"/>
    <mergeCell ref="C501:C502"/>
    <mergeCell ref="C503:C504"/>
    <mergeCell ref="A505:D505"/>
  </mergeCells>
  <phoneticPr fontId="2"/>
  <conditionalFormatting sqref="F87 A88 F303 A304">
    <cfRule type="expression" dxfId="9" priority="2" stopIfTrue="1">
      <formula>AND($F$113&gt;5000000,OR($E$87="無し",$E$87="なし"))</formula>
    </cfRule>
  </conditionalFormatting>
  <conditionalFormatting sqref="A10">
    <cfRule type="expression" dxfId="8" priority="1" stopIfTrue="1">
      <formula>AND($F$113&gt;5000000,OR($E$87="無し",$E$87="なし"))</formula>
    </cfRule>
  </conditionalFormatting>
  <dataValidations disablePrompts="1" count="4">
    <dataValidation type="list" allowBlank="1" showInputMessage="1" showErrorMessage="1" sqref="JF305:JM305 TB305:TI305 ACX305:ADE305 AMT305:ANA305 AWP305:AWW305 BGL305:BGS305 BQH305:BQO305 CAD305:CAK305 CJZ305:CKG305 CTV305:CUC305 DDR305:DDY305 DNN305:DNU305 DXJ305:DXQ305 EHF305:EHM305 ERB305:ERI305 FAX305:FBE305 FKT305:FLA305 FUP305:FUW305 GEL305:GES305 GOH305:GOO305 GYD305:GYK305 HHZ305:HIG305 HRV305:HSC305 IBR305:IBY305 ILN305:ILU305 IVJ305:IVQ305 JFF305:JFM305 JPB305:JPI305 JYX305:JZE305 KIT305:KJA305 KSP305:KSW305 LCL305:LCS305 LMH305:LMO305 LWD305:LWK305 MFZ305:MGG305 MPV305:MQC305 MZR305:MZY305 NJN305:NJU305 NTJ305:NTQ305 ODF305:ODM305 ONB305:ONI305 OWX305:OXE305 PGT305:PHA305 PQP305:PQW305 QAL305:QAS305 QKH305:QKO305 QUD305:QUK305 RDZ305:REG305 RNV305:ROC305 RXR305:RXY305 SHN305:SHU305 SRJ305:SRQ305 TBF305:TBM305 TLB305:TLI305 TUX305:TVE305 UET305:UFA305 UOP305:UOW305 UYL305:UYS305 VIH305:VIO305 VSD305:VSK305 WBZ305:WCG305 WLV305:WMC305 WVR305:WVY305 JF65841:JM65841 TB65841:TI65841 ACX65841:ADE65841 AMT65841:ANA65841 AWP65841:AWW65841 BGL65841:BGS65841 BQH65841:BQO65841 CAD65841:CAK65841 CJZ65841:CKG65841 CTV65841:CUC65841 DDR65841:DDY65841 DNN65841:DNU65841 DXJ65841:DXQ65841 EHF65841:EHM65841 ERB65841:ERI65841 FAX65841:FBE65841 FKT65841:FLA65841 FUP65841:FUW65841 GEL65841:GES65841 GOH65841:GOO65841 GYD65841:GYK65841 HHZ65841:HIG65841 HRV65841:HSC65841 IBR65841:IBY65841 ILN65841:ILU65841 IVJ65841:IVQ65841 JFF65841:JFM65841 JPB65841:JPI65841 JYX65841:JZE65841 KIT65841:KJA65841 KSP65841:KSW65841 LCL65841:LCS65841 LMH65841:LMO65841 LWD65841:LWK65841 MFZ65841:MGG65841 MPV65841:MQC65841 MZR65841:MZY65841 NJN65841:NJU65841 NTJ65841:NTQ65841 ODF65841:ODM65841 ONB65841:ONI65841 OWX65841:OXE65841 PGT65841:PHA65841 PQP65841:PQW65841 QAL65841:QAS65841 QKH65841:QKO65841 QUD65841:QUK65841 RDZ65841:REG65841 RNV65841:ROC65841 RXR65841:RXY65841 SHN65841:SHU65841 SRJ65841:SRQ65841 TBF65841:TBM65841 TLB65841:TLI65841 TUX65841:TVE65841 UET65841:UFA65841 UOP65841:UOW65841 UYL65841:UYS65841 VIH65841:VIO65841 VSD65841:VSK65841 WBZ65841:WCG65841 WLV65841:WMC65841 WVR65841:WVY65841 JF131377:JM131377 TB131377:TI131377 ACX131377:ADE131377 AMT131377:ANA131377 AWP131377:AWW131377 BGL131377:BGS131377 BQH131377:BQO131377 CAD131377:CAK131377 CJZ131377:CKG131377 CTV131377:CUC131377 DDR131377:DDY131377 DNN131377:DNU131377 DXJ131377:DXQ131377 EHF131377:EHM131377 ERB131377:ERI131377 FAX131377:FBE131377 FKT131377:FLA131377 FUP131377:FUW131377 GEL131377:GES131377 GOH131377:GOO131377 GYD131377:GYK131377 HHZ131377:HIG131377 HRV131377:HSC131377 IBR131377:IBY131377 ILN131377:ILU131377 IVJ131377:IVQ131377 JFF131377:JFM131377 JPB131377:JPI131377 JYX131377:JZE131377 KIT131377:KJA131377 KSP131377:KSW131377 LCL131377:LCS131377 LMH131377:LMO131377 LWD131377:LWK131377 MFZ131377:MGG131377 MPV131377:MQC131377 MZR131377:MZY131377 NJN131377:NJU131377 NTJ131377:NTQ131377 ODF131377:ODM131377 ONB131377:ONI131377 OWX131377:OXE131377 PGT131377:PHA131377 PQP131377:PQW131377 QAL131377:QAS131377 QKH131377:QKO131377 QUD131377:QUK131377 RDZ131377:REG131377 RNV131377:ROC131377 RXR131377:RXY131377 SHN131377:SHU131377 SRJ131377:SRQ131377 TBF131377:TBM131377 TLB131377:TLI131377 TUX131377:TVE131377 UET131377:UFA131377 UOP131377:UOW131377 UYL131377:UYS131377 VIH131377:VIO131377 VSD131377:VSK131377 WBZ131377:WCG131377 WLV131377:WMC131377 WVR131377:WVY131377 JF196913:JM196913 TB196913:TI196913 ACX196913:ADE196913 AMT196913:ANA196913 AWP196913:AWW196913 BGL196913:BGS196913 BQH196913:BQO196913 CAD196913:CAK196913 CJZ196913:CKG196913 CTV196913:CUC196913 DDR196913:DDY196913 DNN196913:DNU196913 DXJ196913:DXQ196913 EHF196913:EHM196913 ERB196913:ERI196913 FAX196913:FBE196913 FKT196913:FLA196913 FUP196913:FUW196913 GEL196913:GES196913 GOH196913:GOO196913 GYD196913:GYK196913 HHZ196913:HIG196913 HRV196913:HSC196913 IBR196913:IBY196913 ILN196913:ILU196913 IVJ196913:IVQ196913 JFF196913:JFM196913 JPB196913:JPI196913 JYX196913:JZE196913 KIT196913:KJA196913 KSP196913:KSW196913 LCL196913:LCS196913 LMH196913:LMO196913 LWD196913:LWK196913 MFZ196913:MGG196913 MPV196913:MQC196913 MZR196913:MZY196913 NJN196913:NJU196913 NTJ196913:NTQ196913 ODF196913:ODM196913 ONB196913:ONI196913 OWX196913:OXE196913 PGT196913:PHA196913 PQP196913:PQW196913 QAL196913:QAS196913 QKH196913:QKO196913 QUD196913:QUK196913 RDZ196913:REG196913 RNV196913:ROC196913 RXR196913:RXY196913 SHN196913:SHU196913 SRJ196913:SRQ196913 TBF196913:TBM196913 TLB196913:TLI196913 TUX196913:TVE196913 UET196913:UFA196913 UOP196913:UOW196913 UYL196913:UYS196913 VIH196913:VIO196913 VSD196913:VSK196913 WBZ196913:WCG196913 WLV196913:WMC196913 WVR196913:WVY196913 JF262449:JM262449 TB262449:TI262449 ACX262449:ADE262449 AMT262449:ANA262449 AWP262449:AWW262449 BGL262449:BGS262449 BQH262449:BQO262449 CAD262449:CAK262449 CJZ262449:CKG262449 CTV262449:CUC262449 DDR262449:DDY262449 DNN262449:DNU262449 DXJ262449:DXQ262449 EHF262449:EHM262449 ERB262449:ERI262449 FAX262449:FBE262449 FKT262449:FLA262449 FUP262449:FUW262449 GEL262449:GES262449 GOH262449:GOO262449 GYD262449:GYK262449 HHZ262449:HIG262449 HRV262449:HSC262449 IBR262449:IBY262449 ILN262449:ILU262449 IVJ262449:IVQ262449 JFF262449:JFM262449 JPB262449:JPI262449 JYX262449:JZE262449 KIT262449:KJA262449 KSP262449:KSW262449 LCL262449:LCS262449 LMH262449:LMO262449 LWD262449:LWK262449 MFZ262449:MGG262449 MPV262449:MQC262449 MZR262449:MZY262449 NJN262449:NJU262449 NTJ262449:NTQ262449 ODF262449:ODM262449 ONB262449:ONI262449 OWX262449:OXE262449 PGT262449:PHA262449 PQP262449:PQW262449 QAL262449:QAS262449 QKH262449:QKO262449 QUD262449:QUK262449 RDZ262449:REG262449 RNV262449:ROC262449 RXR262449:RXY262449 SHN262449:SHU262449 SRJ262449:SRQ262449 TBF262449:TBM262449 TLB262449:TLI262449 TUX262449:TVE262449 UET262449:UFA262449 UOP262449:UOW262449 UYL262449:UYS262449 VIH262449:VIO262449 VSD262449:VSK262449 WBZ262449:WCG262449 WLV262449:WMC262449 WVR262449:WVY262449 JF327985:JM327985 TB327985:TI327985 ACX327985:ADE327985 AMT327985:ANA327985 AWP327985:AWW327985 BGL327985:BGS327985 BQH327985:BQO327985 CAD327985:CAK327985 CJZ327985:CKG327985 CTV327985:CUC327985 DDR327985:DDY327985 DNN327985:DNU327985 DXJ327985:DXQ327985 EHF327985:EHM327985 ERB327985:ERI327985 FAX327985:FBE327985 FKT327985:FLA327985 FUP327985:FUW327985 GEL327985:GES327985 GOH327985:GOO327985 GYD327985:GYK327985 HHZ327985:HIG327985 HRV327985:HSC327985 IBR327985:IBY327985 ILN327985:ILU327985 IVJ327985:IVQ327985 JFF327985:JFM327985 JPB327985:JPI327985 JYX327985:JZE327985 KIT327985:KJA327985 KSP327985:KSW327985 LCL327985:LCS327985 LMH327985:LMO327985 LWD327985:LWK327985 MFZ327985:MGG327985 MPV327985:MQC327985 MZR327985:MZY327985 NJN327985:NJU327985 NTJ327985:NTQ327985 ODF327985:ODM327985 ONB327985:ONI327985 OWX327985:OXE327985 PGT327985:PHA327985 PQP327985:PQW327985 QAL327985:QAS327985 QKH327985:QKO327985 QUD327985:QUK327985 RDZ327985:REG327985 RNV327985:ROC327985 RXR327985:RXY327985 SHN327985:SHU327985 SRJ327985:SRQ327985 TBF327985:TBM327985 TLB327985:TLI327985 TUX327985:TVE327985 UET327985:UFA327985 UOP327985:UOW327985 UYL327985:UYS327985 VIH327985:VIO327985 VSD327985:VSK327985 WBZ327985:WCG327985 WLV327985:WMC327985 WVR327985:WVY327985 JF393521:JM393521 TB393521:TI393521 ACX393521:ADE393521 AMT393521:ANA393521 AWP393521:AWW393521 BGL393521:BGS393521 BQH393521:BQO393521 CAD393521:CAK393521 CJZ393521:CKG393521 CTV393521:CUC393521 DDR393521:DDY393521 DNN393521:DNU393521 DXJ393521:DXQ393521 EHF393521:EHM393521 ERB393521:ERI393521 FAX393521:FBE393521 FKT393521:FLA393521 FUP393521:FUW393521 GEL393521:GES393521 GOH393521:GOO393521 GYD393521:GYK393521 HHZ393521:HIG393521 HRV393521:HSC393521 IBR393521:IBY393521 ILN393521:ILU393521 IVJ393521:IVQ393521 JFF393521:JFM393521 JPB393521:JPI393521 JYX393521:JZE393521 KIT393521:KJA393521 KSP393521:KSW393521 LCL393521:LCS393521 LMH393521:LMO393521 LWD393521:LWK393521 MFZ393521:MGG393521 MPV393521:MQC393521 MZR393521:MZY393521 NJN393521:NJU393521 NTJ393521:NTQ393521 ODF393521:ODM393521 ONB393521:ONI393521 OWX393521:OXE393521 PGT393521:PHA393521 PQP393521:PQW393521 QAL393521:QAS393521 QKH393521:QKO393521 QUD393521:QUK393521 RDZ393521:REG393521 RNV393521:ROC393521 RXR393521:RXY393521 SHN393521:SHU393521 SRJ393521:SRQ393521 TBF393521:TBM393521 TLB393521:TLI393521 TUX393521:TVE393521 UET393521:UFA393521 UOP393521:UOW393521 UYL393521:UYS393521 VIH393521:VIO393521 VSD393521:VSK393521 WBZ393521:WCG393521 WLV393521:WMC393521 WVR393521:WVY393521 JF459057:JM459057 TB459057:TI459057 ACX459057:ADE459057 AMT459057:ANA459057 AWP459057:AWW459057 BGL459057:BGS459057 BQH459057:BQO459057 CAD459057:CAK459057 CJZ459057:CKG459057 CTV459057:CUC459057 DDR459057:DDY459057 DNN459057:DNU459057 DXJ459057:DXQ459057 EHF459057:EHM459057 ERB459057:ERI459057 FAX459057:FBE459057 FKT459057:FLA459057 FUP459057:FUW459057 GEL459057:GES459057 GOH459057:GOO459057 GYD459057:GYK459057 HHZ459057:HIG459057 HRV459057:HSC459057 IBR459057:IBY459057 ILN459057:ILU459057 IVJ459057:IVQ459057 JFF459057:JFM459057 JPB459057:JPI459057 JYX459057:JZE459057 KIT459057:KJA459057 KSP459057:KSW459057 LCL459057:LCS459057 LMH459057:LMO459057 LWD459057:LWK459057 MFZ459057:MGG459057 MPV459057:MQC459057 MZR459057:MZY459057 NJN459057:NJU459057 NTJ459057:NTQ459057 ODF459057:ODM459057 ONB459057:ONI459057 OWX459057:OXE459057 PGT459057:PHA459057 PQP459057:PQW459057 QAL459057:QAS459057 QKH459057:QKO459057 QUD459057:QUK459057 RDZ459057:REG459057 RNV459057:ROC459057 RXR459057:RXY459057 SHN459057:SHU459057 SRJ459057:SRQ459057 TBF459057:TBM459057 TLB459057:TLI459057 TUX459057:TVE459057 UET459057:UFA459057 UOP459057:UOW459057 UYL459057:UYS459057 VIH459057:VIO459057 VSD459057:VSK459057 WBZ459057:WCG459057 WLV459057:WMC459057 WVR459057:WVY459057 JF524593:JM524593 TB524593:TI524593 ACX524593:ADE524593 AMT524593:ANA524593 AWP524593:AWW524593 BGL524593:BGS524593 BQH524593:BQO524593 CAD524593:CAK524593 CJZ524593:CKG524593 CTV524593:CUC524593 DDR524593:DDY524593 DNN524593:DNU524593 DXJ524593:DXQ524593 EHF524593:EHM524593 ERB524593:ERI524593 FAX524593:FBE524593 FKT524593:FLA524593 FUP524593:FUW524593 GEL524593:GES524593 GOH524593:GOO524593 GYD524593:GYK524593 HHZ524593:HIG524593 HRV524593:HSC524593 IBR524593:IBY524593 ILN524593:ILU524593 IVJ524593:IVQ524593 JFF524593:JFM524593 JPB524593:JPI524593 JYX524593:JZE524593 KIT524593:KJA524593 KSP524593:KSW524593 LCL524593:LCS524593 LMH524593:LMO524593 LWD524593:LWK524593 MFZ524593:MGG524593 MPV524593:MQC524593 MZR524593:MZY524593 NJN524593:NJU524593 NTJ524593:NTQ524593 ODF524593:ODM524593 ONB524593:ONI524593 OWX524593:OXE524593 PGT524593:PHA524593 PQP524593:PQW524593 QAL524593:QAS524593 QKH524593:QKO524593 QUD524593:QUK524593 RDZ524593:REG524593 RNV524593:ROC524593 RXR524593:RXY524593 SHN524593:SHU524593 SRJ524593:SRQ524593 TBF524593:TBM524593 TLB524593:TLI524593 TUX524593:TVE524593 UET524593:UFA524593 UOP524593:UOW524593 UYL524593:UYS524593 VIH524593:VIO524593 VSD524593:VSK524593 WBZ524593:WCG524593 WLV524593:WMC524593 WVR524593:WVY524593 JF590129:JM590129 TB590129:TI590129 ACX590129:ADE590129 AMT590129:ANA590129 AWP590129:AWW590129 BGL590129:BGS590129 BQH590129:BQO590129 CAD590129:CAK590129 CJZ590129:CKG590129 CTV590129:CUC590129 DDR590129:DDY590129 DNN590129:DNU590129 DXJ590129:DXQ590129 EHF590129:EHM590129 ERB590129:ERI590129 FAX590129:FBE590129 FKT590129:FLA590129 FUP590129:FUW590129 GEL590129:GES590129 GOH590129:GOO590129 GYD590129:GYK590129 HHZ590129:HIG590129 HRV590129:HSC590129 IBR590129:IBY590129 ILN590129:ILU590129 IVJ590129:IVQ590129 JFF590129:JFM590129 JPB590129:JPI590129 JYX590129:JZE590129 KIT590129:KJA590129 KSP590129:KSW590129 LCL590129:LCS590129 LMH590129:LMO590129 LWD590129:LWK590129 MFZ590129:MGG590129 MPV590129:MQC590129 MZR590129:MZY590129 NJN590129:NJU590129 NTJ590129:NTQ590129 ODF590129:ODM590129 ONB590129:ONI590129 OWX590129:OXE590129 PGT590129:PHA590129 PQP590129:PQW590129 QAL590129:QAS590129 QKH590129:QKO590129 QUD590129:QUK590129 RDZ590129:REG590129 RNV590129:ROC590129 RXR590129:RXY590129 SHN590129:SHU590129 SRJ590129:SRQ590129 TBF590129:TBM590129 TLB590129:TLI590129 TUX590129:TVE590129 UET590129:UFA590129 UOP590129:UOW590129 UYL590129:UYS590129 VIH590129:VIO590129 VSD590129:VSK590129 WBZ590129:WCG590129 WLV590129:WMC590129 WVR590129:WVY590129 JF655665:JM655665 TB655665:TI655665 ACX655665:ADE655665 AMT655665:ANA655665 AWP655665:AWW655665 BGL655665:BGS655665 BQH655665:BQO655665 CAD655665:CAK655665 CJZ655665:CKG655665 CTV655665:CUC655665 DDR655665:DDY655665 DNN655665:DNU655665 DXJ655665:DXQ655665 EHF655665:EHM655665 ERB655665:ERI655665 FAX655665:FBE655665 FKT655665:FLA655665 FUP655665:FUW655665 GEL655665:GES655665 GOH655665:GOO655665 GYD655665:GYK655665 HHZ655665:HIG655665 HRV655665:HSC655665 IBR655665:IBY655665 ILN655665:ILU655665 IVJ655665:IVQ655665 JFF655665:JFM655665 JPB655665:JPI655665 JYX655665:JZE655665 KIT655665:KJA655665 KSP655665:KSW655665 LCL655665:LCS655665 LMH655665:LMO655665 LWD655665:LWK655665 MFZ655665:MGG655665 MPV655665:MQC655665 MZR655665:MZY655665 NJN655665:NJU655665 NTJ655665:NTQ655665 ODF655665:ODM655665 ONB655665:ONI655665 OWX655665:OXE655665 PGT655665:PHA655665 PQP655665:PQW655665 QAL655665:QAS655665 QKH655665:QKO655665 QUD655665:QUK655665 RDZ655665:REG655665 RNV655665:ROC655665 RXR655665:RXY655665 SHN655665:SHU655665 SRJ655665:SRQ655665 TBF655665:TBM655665 TLB655665:TLI655665 TUX655665:TVE655665 UET655665:UFA655665 UOP655665:UOW655665 UYL655665:UYS655665 VIH655665:VIO655665 VSD655665:VSK655665 WBZ655665:WCG655665 WLV655665:WMC655665 WVR655665:WVY655665 JF721201:JM721201 TB721201:TI721201 ACX721201:ADE721201 AMT721201:ANA721201 AWP721201:AWW721201 BGL721201:BGS721201 BQH721201:BQO721201 CAD721201:CAK721201 CJZ721201:CKG721201 CTV721201:CUC721201 DDR721201:DDY721201 DNN721201:DNU721201 DXJ721201:DXQ721201 EHF721201:EHM721201 ERB721201:ERI721201 FAX721201:FBE721201 FKT721201:FLA721201 FUP721201:FUW721201 GEL721201:GES721201 GOH721201:GOO721201 GYD721201:GYK721201 HHZ721201:HIG721201 HRV721201:HSC721201 IBR721201:IBY721201 ILN721201:ILU721201 IVJ721201:IVQ721201 JFF721201:JFM721201 JPB721201:JPI721201 JYX721201:JZE721201 KIT721201:KJA721201 KSP721201:KSW721201 LCL721201:LCS721201 LMH721201:LMO721201 LWD721201:LWK721201 MFZ721201:MGG721201 MPV721201:MQC721201 MZR721201:MZY721201 NJN721201:NJU721201 NTJ721201:NTQ721201 ODF721201:ODM721201 ONB721201:ONI721201 OWX721201:OXE721201 PGT721201:PHA721201 PQP721201:PQW721201 QAL721201:QAS721201 QKH721201:QKO721201 QUD721201:QUK721201 RDZ721201:REG721201 RNV721201:ROC721201 RXR721201:RXY721201 SHN721201:SHU721201 SRJ721201:SRQ721201 TBF721201:TBM721201 TLB721201:TLI721201 TUX721201:TVE721201 UET721201:UFA721201 UOP721201:UOW721201 UYL721201:UYS721201 VIH721201:VIO721201 VSD721201:VSK721201 WBZ721201:WCG721201 WLV721201:WMC721201 WVR721201:WVY721201 JF786737:JM786737 TB786737:TI786737 ACX786737:ADE786737 AMT786737:ANA786737 AWP786737:AWW786737 BGL786737:BGS786737 BQH786737:BQO786737 CAD786737:CAK786737 CJZ786737:CKG786737 CTV786737:CUC786737 DDR786737:DDY786737 DNN786737:DNU786737 DXJ786737:DXQ786737 EHF786737:EHM786737 ERB786737:ERI786737 FAX786737:FBE786737 FKT786737:FLA786737 FUP786737:FUW786737 GEL786737:GES786737 GOH786737:GOO786737 GYD786737:GYK786737 HHZ786737:HIG786737 HRV786737:HSC786737 IBR786737:IBY786737 ILN786737:ILU786737 IVJ786737:IVQ786737 JFF786737:JFM786737 JPB786737:JPI786737 JYX786737:JZE786737 KIT786737:KJA786737 KSP786737:KSW786737 LCL786737:LCS786737 LMH786737:LMO786737 LWD786737:LWK786737 MFZ786737:MGG786737 MPV786737:MQC786737 MZR786737:MZY786737 NJN786737:NJU786737 NTJ786737:NTQ786737 ODF786737:ODM786737 ONB786737:ONI786737 OWX786737:OXE786737 PGT786737:PHA786737 PQP786737:PQW786737 QAL786737:QAS786737 QKH786737:QKO786737 QUD786737:QUK786737 RDZ786737:REG786737 RNV786737:ROC786737 RXR786737:RXY786737 SHN786737:SHU786737 SRJ786737:SRQ786737 TBF786737:TBM786737 TLB786737:TLI786737 TUX786737:TVE786737 UET786737:UFA786737 UOP786737:UOW786737 UYL786737:UYS786737 VIH786737:VIO786737 VSD786737:VSK786737 WBZ786737:WCG786737 WLV786737:WMC786737 WVR786737:WVY786737 JF852273:JM852273 TB852273:TI852273 ACX852273:ADE852273 AMT852273:ANA852273 AWP852273:AWW852273 BGL852273:BGS852273 BQH852273:BQO852273 CAD852273:CAK852273 CJZ852273:CKG852273 CTV852273:CUC852273 DDR852273:DDY852273 DNN852273:DNU852273 DXJ852273:DXQ852273 EHF852273:EHM852273 ERB852273:ERI852273 FAX852273:FBE852273 FKT852273:FLA852273 FUP852273:FUW852273 GEL852273:GES852273 GOH852273:GOO852273 GYD852273:GYK852273 HHZ852273:HIG852273 HRV852273:HSC852273 IBR852273:IBY852273 ILN852273:ILU852273 IVJ852273:IVQ852273 JFF852273:JFM852273 JPB852273:JPI852273 JYX852273:JZE852273 KIT852273:KJA852273 KSP852273:KSW852273 LCL852273:LCS852273 LMH852273:LMO852273 LWD852273:LWK852273 MFZ852273:MGG852273 MPV852273:MQC852273 MZR852273:MZY852273 NJN852273:NJU852273 NTJ852273:NTQ852273 ODF852273:ODM852273 ONB852273:ONI852273 OWX852273:OXE852273 PGT852273:PHA852273 PQP852273:PQW852273 QAL852273:QAS852273 QKH852273:QKO852273 QUD852273:QUK852273 RDZ852273:REG852273 RNV852273:ROC852273 RXR852273:RXY852273 SHN852273:SHU852273 SRJ852273:SRQ852273 TBF852273:TBM852273 TLB852273:TLI852273 TUX852273:TVE852273 UET852273:UFA852273 UOP852273:UOW852273 UYL852273:UYS852273 VIH852273:VIO852273 VSD852273:VSK852273 WBZ852273:WCG852273 WLV852273:WMC852273 WVR852273:WVY852273 JF917809:JM917809 TB917809:TI917809 ACX917809:ADE917809 AMT917809:ANA917809 AWP917809:AWW917809 BGL917809:BGS917809 BQH917809:BQO917809 CAD917809:CAK917809 CJZ917809:CKG917809 CTV917809:CUC917809 DDR917809:DDY917809 DNN917809:DNU917809 DXJ917809:DXQ917809 EHF917809:EHM917809 ERB917809:ERI917809 FAX917809:FBE917809 FKT917809:FLA917809 FUP917809:FUW917809 GEL917809:GES917809 GOH917809:GOO917809 GYD917809:GYK917809 HHZ917809:HIG917809 HRV917809:HSC917809 IBR917809:IBY917809 ILN917809:ILU917809 IVJ917809:IVQ917809 JFF917809:JFM917809 JPB917809:JPI917809 JYX917809:JZE917809 KIT917809:KJA917809 KSP917809:KSW917809 LCL917809:LCS917809 LMH917809:LMO917809 LWD917809:LWK917809 MFZ917809:MGG917809 MPV917809:MQC917809 MZR917809:MZY917809 NJN917809:NJU917809 NTJ917809:NTQ917809 ODF917809:ODM917809 ONB917809:ONI917809 OWX917809:OXE917809 PGT917809:PHA917809 PQP917809:PQW917809 QAL917809:QAS917809 QKH917809:QKO917809 QUD917809:QUK917809 RDZ917809:REG917809 RNV917809:ROC917809 RXR917809:RXY917809 SHN917809:SHU917809 SRJ917809:SRQ917809 TBF917809:TBM917809 TLB917809:TLI917809 TUX917809:TVE917809 UET917809:UFA917809 UOP917809:UOW917809 UYL917809:UYS917809 VIH917809:VIO917809 VSD917809:VSK917809 WBZ917809:WCG917809 WLV917809:WMC917809 WVR917809:WVY917809 JF983345:JM983345 TB983345:TI983345 ACX983345:ADE983345 AMT983345:ANA983345 AWP983345:AWW983345 BGL983345:BGS983345 BQH983345:BQO983345 CAD983345:CAK983345 CJZ983345:CKG983345 CTV983345:CUC983345 DDR983345:DDY983345 DNN983345:DNU983345 DXJ983345:DXQ983345 EHF983345:EHM983345 ERB983345:ERI983345 FAX983345:FBE983345 FKT983345:FLA983345 FUP983345:FUW983345 GEL983345:GES983345 GOH983345:GOO983345 GYD983345:GYK983345 HHZ983345:HIG983345 HRV983345:HSC983345 IBR983345:IBY983345 ILN983345:ILU983345 IVJ983345:IVQ983345 JFF983345:JFM983345 JPB983345:JPI983345 JYX983345:JZE983345 KIT983345:KJA983345 KSP983345:KSW983345 LCL983345:LCS983345 LMH983345:LMO983345 LWD983345:LWK983345 MFZ983345:MGG983345 MPV983345:MQC983345 MZR983345:MZY983345 NJN983345:NJU983345 NTJ983345:NTQ983345 ODF983345:ODM983345 ONB983345:ONI983345 OWX983345:OXE983345 PGT983345:PHA983345 PQP983345:PQW983345 QAL983345:QAS983345 QKH983345:QKO983345 QUD983345:QUK983345 RDZ983345:REG983345 RNV983345:ROC983345 RXR983345:RXY983345 SHN983345:SHU983345 SRJ983345:SRQ983345 TBF983345:TBM983345 TLB983345:TLI983345 TUX983345:TVE983345 UET983345:UFA983345 UOP983345:UOW983345 UYL983345:UYS983345 VIH983345:VIO983345 VSD983345:VSK983345 WBZ983345:WCG983345 WLV983345:WMC983345 WVR983345:WVY983345 JF89:JM89 TB89:TI89 ACX89:ADE89 AMT89:ANA89 AWP89:AWW89 BGL89:BGS89 BQH89:BQO89 CAD89:CAK89 CJZ89:CKG89 CTV89:CUC89 DDR89:DDY89 DNN89:DNU89 DXJ89:DXQ89 EHF89:EHM89 ERB89:ERI89 FAX89:FBE89 FKT89:FLA89 FUP89:FUW89 GEL89:GES89 GOH89:GOO89 GYD89:GYK89 HHZ89:HIG89 HRV89:HSC89 IBR89:IBY89 ILN89:ILU89 IVJ89:IVQ89 JFF89:JFM89 JPB89:JPI89 JYX89:JZE89 KIT89:KJA89 KSP89:KSW89 LCL89:LCS89 LMH89:LMO89 LWD89:LWK89 MFZ89:MGG89 MPV89:MQC89 MZR89:MZY89 NJN89:NJU89 NTJ89:NTQ89 ODF89:ODM89 ONB89:ONI89 OWX89:OXE89 PGT89:PHA89 PQP89:PQW89 QAL89:QAS89 QKH89:QKO89 QUD89:QUK89 RDZ89:REG89 RNV89:ROC89 RXR89:RXY89 SHN89:SHU89 SRJ89:SRQ89 TBF89:TBM89 TLB89:TLI89 TUX89:TVE89 UET89:UFA89 UOP89:UOW89 UYL89:UYS89 VIH89:VIO89 VSD89:VSK89 WBZ89:WCG89 WLV89:WMC89 WVR89:WVY89 JF65625:JM65625 TB65625:TI65625 ACX65625:ADE65625 AMT65625:ANA65625 AWP65625:AWW65625 BGL65625:BGS65625 BQH65625:BQO65625 CAD65625:CAK65625 CJZ65625:CKG65625 CTV65625:CUC65625 DDR65625:DDY65625 DNN65625:DNU65625 DXJ65625:DXQ65625 EHF65625:EHM65625 ERB65625:ERI65625 FAX65625:FBE65625 FKT65625:FLA65625 FUP65625:FUW65625 GEL65625:GES65625 GOH65625:GOO65625 GYD65625:GYK65625 HHZ65625:HIG65625 HRV65625:HSC65625 IBR65625:IBY65625 ILN65625:ILU65625 IVJ65625:IVQ65625 JFF65625:JFM65625 JPB65625:JPI65625 JYX65625:JZE65625 KIT65625:KJA65625 KSP65625:KSW65625 LCL65625:LCS65625 LMH65625:LMO65625 LWD65625:LWK65625 MFZ65625:MGG65625 MPV65625:MQC65625 MZR65625:MZY65625 NJN65625:NJU65625 NTJ65625:NTQ65625 ODF65625:ODM65625 ONB65625:ONI65625 OWX65625:OXE65625 PGT65625:PHA65625 PQP65625:PQW65625 QAL65625:QAS65625 QKH65625:QKO65625 QUD65625:QUK65625 RDZ65625:REG65625 RNV65625:ROC65625 RXR65625:RXY65625 SHN65625:SHU65625 SRJ65625:SRQ65625 TBF65625:TBM65625 TLB65625:TLI65625 TUX65625:TVE65625 UET65625:UFA65625 UOP65625:UOW65625 UYL65625:UYS65625 VIH65625:VIO65625 VSD65625:VSK65625 WBZ65625:WCG65625 WLV65625:WMC65625 WVR65625:WVY65625 JF131161:JM131161 TB131161:TI131161 ACX131161:ADE131161 AMT131161:ANA131161 AWP131161:AWW131161 BGL131161:BGS131161 BQH131161:BQO131161 CAD131161:CAK131161 CJZ131161:CKG131161 CTV131161:CUC131161 DDR131161:DDY131161 DNN131161:DNU131161 DXJ131161:DXQ131161 EHF131161:EHM131161 ERB131161:ERI131161 FAX131161:FBE131161 FKT131161:FLA131161 FUP131161:FUW131161 GEL131161:GES131161 GOH131161:GOO131161 GYD131161:GYK131161 HHZ131161:HIG131161 HRV131161:HSC131161 IBR131161:IBY131161 ILN131161:ILU131161 IVJ131161:IVQ131161 JFF131161:JFM131161 JPB131161:JPI131161 JYX131161:JZE131161 KIT131161:KJA131161 KSP131161:KSW131161 LCL131161:LCS131161 LMH131161:LMO131161 LWD131161:LWK131161 MFZ131161:MGG131161 MPV131161:MQC131161 MZR131161:MZY131161 NJN131161:NJU131161 NTJ131161:NTQ131161 ODF131161:ODM131161 ONB131161:ONI131161 OWX131161:OXE131161 PGT131161:PHA131161 PQP131161:PQW131161 QAL131161:QAS131161 QKH131161:QKO131161 QUD131161:QUK131161 RDZ131161:REG131161 RNV131161:ROC131161 RXR131161:RXY131161 SHN131161:SHU131161 SRJ131161:SRQ131161 TBF131161:TBM131161 TLB131161:TLI131161 TUX131161:TVE131161 UET131161:UFA131161 UOP131161:UOW131161 UYL131161:UYS131161 VIH131161:VIO131161 VSD131161:VSK131161 WBZ131161:WCG131161 WLV131161:WMC131161 WVR131161:WVY131161 JF196697:JM196697 TB196697:TI196697 ACX196697:ADE196697 AMT196697:ANA196697 AWP196697:AWW196697 BGL196697:BGS196697 BQH196697:BQO196697 CAD196697:CAK196697 CJZ196697:CKG196697 CTV196697:CUC196697 DDR196697:DDY196697 DNN196697:DNU196697 DXJ196697:DXQ196697 EHF196697:EHM196697 ERB196697:ERI196697 FAX196697:FBE196697 FKT196697:FLA196697 FUP196697:FUW196697 GEL196697:GES196697 GOH196697:GOO196697 GYD196697:GYK196697 HHZ196697:HIG196697 HRV196697:HSC196697 IBR196697:IBY196697 ILN196697:ILU196697 IVJ196697:IVQ196697 JFF196697:JFM196697 JPB196697:JPI196697 JYX196697:JZE196697 KIT196697:KJA196697 KSP196697:KSW196697 LCL196697:LCS196697 LMH196697:LMO196697 LWD196697:LWK196697 MFZ196697:MGG196697 MPV196697:MQC196697 MZR196697:MZY196697 NJN196697:NJU196697 NTJ196697:NTQ196697 ODF196697:ODM196697 ONB196697:ONI196697 OWX196697:OXE196697 PGT196697:PHA196697 PQP196697:PQW196697 QAL196697:QAS196697 QKH196697:QKO196697 QUD196697:QUK196697 RDZ196697:REG196697 RNV196697:ROC196697 RXR196697:RXY196697 SHN196697:SHU196697 SRJ196697:SRQ196697 TBF196697:TBM196697 TLB196697:TLI196697 TUX196697:TVE196697 UET196697:UFA196697 UOP196697:UOW196697 UYL196697:UYS196697 VIH196697:VIO196697 VSD196697:VSK196697 WBZ196697:WCG196697 WLV196697:WMC196697 WVR196697:WVY196697 JF262233:JM262233 TB262233:TI262233 ACX262233:ADE262233 AMT262233:ANA262233 AWP262233:AWW262233 BGL262233:BGS262233 BQH262233:BQO262233 CAD262233:CAK262233 CJZ262233:CKG262233 CTV262233:CUC262233 DDR262233:DDY262233 DNN262233:DNU262233 DXJ262233:DXQ262233 EHF262233:EHM262233 ERB262233:ERI262233 FAX262233:FBE262233 FKT262233:FLA262233 FUP262233:FUW262233 GEL262233:GES262233 GOH262233:GOO262233 GYD262233:GYK262233 HHZ262233:HIG262233 HRV262233:HSC262233 IBR262233:IBY262233 ILN262233:ILU262233 IVJ262233:IVQ262233 JFF262233:JFM262233 JPB262233:JPI262233 JYX262233:JZE262233 KIT262233:KJA262233 KSP262233:KSW262233 LCL262233:LCS262233 LMH262233:LMO262233 LWD262233:LWK262233 MFZ262233:MGG262233 MPV262233:MQC262233 MZR262233:MZY262233 NJN262233:NJU262233 NTJ262233:NTQ262233 ODF262233:ODM262233 ONB262233:ONI262233 OWX262233:OXE262233 PGT262233:PHA262233 PQP262233:PQW262233 QAL262233:QAS262233 QKH262233:QKO262233 QUD262233:QUK262233 RDZ262233:REG262233 RNV262233:ROC262233 RXR262233:RXY262233 SHN262233:SHU262233 SRJ262233:SRQ262233 TBF262233:TBM262233 TLB262233:TLI262233 TUX262233:TVE262233 UET262233:UFA262233 UOP262233:UOW262233 UYL262233:UYS262233 VIH262233:VIO262233 VSD262233:VSK262233 WBZ262233:WCG262233 WLV262233:WMC262233 WVR262233:WVY262233 JF327769:JM327769 TB327769:TI327769 ACX327769:ADE327769 AMT327769:ANA327769 AWP327769:AWW327769 BGL327769:BGS327769 BQH327769:BQO327769 CAD327769:CAK327769 CJZ327769:CKG327769 CTV327769:CUC327769 DDR327769:DDY327769 DNN327769:DNU327769 DXJ327769:DXQ327769 EHF327769:EHM327769 ERB327769:ERI327769 FAX327769:FBE327769 FKT327769:FLA327769 FUP327769:FUW327769 GEL327769:GES327769 GOH327769:GOO327769 GYD327769:GYK327769 HHZ327769:HIG327769 HRV327769:HSC327769 IBR327769:IBY327769 ILN327769:ILU327769 IVJ327769:IVQ327769 JFF327769:JFM327769 JPB327769:JPI327769 JYX327769:JZE327769 KIT327769:KJA327769 KSP327769:KSW327769 LCL327769:LCS327769 LMH327769:LMO327769 LWD327769:LWK327769 MFZ327769:MGG327769 MPV327769:MQC327769 MZR327769:MZY327769 NJN327769:NJU327769 NTJ327769:NTQ327769 ODF327769:ODM327769 ONB327769:ONI327769 OWX327769:OXE327769 PGT327769:PHA327769 PQP327769:PQW327769 QAL327769:QAS327769 QKH327769:QKO327769 QUD327769:QUK327769 RDZ327769:REG327769 RNV327769:ROC327769 RXR327769:RXY327769 SHN327769:SHU327769 SRJ327769:SRQ327769 TBF327769:TBM327769 TLB327769:TLI327769 TUX327769:TVE327769 UET327769:UFA327769 UOP327769:UOW327769 UYL327769:UYS327769 VIH327769:VIO327769 VSD327769:VSK327769 WBZ327769:WCG327769 WLV327769:WMC327769 WVR327769:WVY327769 JF393305:JM393305 TB393305:TI393305 ACX393305:ADE393305 AMT393305:ANA393305 AWP393305:AWW393305 BGL393305:BGS393305 BQH393305:BQO393305 CAD393305:CAK393305 CJZ393305:CKG393305 CTV393305:CUC393305 DDR393305:DDY393305 DNN393305:DNU393305 DXJ393305:DXQ393305 EHF393305:EHM393305 ERB393305:ERI393305 FAX393305:FBE393305 FKT393305:FLA393305 FUP393305:FUW393305 GEL393305:GES393305 GOH393305:GOO393305 GYD393305:GYK393305 HHZ393305:HIG393305 HRV393305:HSC393305 IBR393305:IBY393305 ILN393305:ILU393305 IVJ393305:IVQ393305 JFF393305:JFM393305 JPB393305:JPI393305 JYX393305:JZE393305 KIT393305:KJA393305 KSP393305:KSW393305 LCL393305:LCS393305 LMH393305:LMO393305 LWD393305:LWK393305 MFZ393305:MGG393305 MPV393305:MQC393305 MZR393305:MZY393305 NJN393305:NJU393305 NTJ393305:NTQ393305 ODF393305:ODM393305 ONB393305:ONI393305 OWX393305:OXE393305 PGT393305:PHA393305 PQP393305:PQW393305 QAL393305:QAS393305 QKH393305:QKO393305 QUD393305:QUK393305 RDZ393305:REG393305 RNV393305:ROC393305 RXR393305:RXY393305 SHN393305:SHU393305 SRJ393305:SRQ393305 TBF393305:TBM393305 TLB393305:TLI393305 TUX393305:TVE393305 UET393305:UFA393305 UOP393305:UOW393305 UYL393305:UYS393305 VIH393305:VIO393305 VSD393305:VSK393305 WBZ393305:WCG393305 WLV393305:WMC393305 WVR393305:WVY393305 JF458841:JM458841 TB458841:TI458841 ACX458841:ADE458841 AMT458841:ANA458841 AWP458841:AWW458841 BGL458841:BGS458841 BQH458841:BQO458841 CAD458841:CAK458841 CJZ458841:CKG458841 CTV458841:CUC458841 DDR458841:DDY458841 DNN458841:DNU458841 DXJ458841:DXQ458841 EHF458841:EHM458841 ERB458841:ERI458841 FAX458841:FBE458841 FKT458841:FLA458841 FUP458841:FUW458841 GEL458841:GES458841 GOH458841:GOO458841 GYD458841:GYK458841 HHZ458841:HIG458841 HRV458841:HSC458841 IBR458841:IBY458841 ILN458841:ILU458841 IVJ458841:IVQ458841 JFF458841:JFM458841 JPB458841:JPI458841 JYX458841:JZE458841 KIT458841:KJA458841 KSP458841:KSW458841 LCL458841:LCS458841 LMH458841:LMO458841 LWD458841:LWK458841 MFZ458841:MGG458841 MPV458841:MQC458841 MZR458841:MZY458841 NJN458841:NJU458841 NTJ458841:NTQ458841 ODF458841:ODM458841 ONB458841:ONI458841 OWX458841:OXE458841 PGT458841:PHA458841 PQP458841:PQW458841 QAL458841:QAS458841 QKH458841:QKO458841 QUD458841:QUK458841 RDZ458841:REG458841 RNV458841:ROC458841 RXR458841:RXY458841 SHN458841:SHU458841 SRJ458841:SRQ458841 TBF458841:TBM458841 TLB458841:TLI458841 TUX458841:TVE458841 UET458841:UFA458841 UOP458841:UOW458841 UYL458841:UYS458841 VIH458841:VIO458841 VSD458841:VSK458841 WBZ458841:WCG458841 WLV458841:WMC458841 WVR458841:WVY458841 JF524377:JM524377 TB524377:TI524377 ACX524377:ADE524377 AMT524377:ANA524377 AWP524377:AWW524377 BGL524377:BGS524377 BQH524377:BQO524377 CAD524377:CAK524377 CJZ524377:CKG524377 CTV524377:CUC524377 DDR524377:DDY524377 DNN524377:DNU524377 DXJ524377:DXQ524377 EHF524377:EHM524377 ERB524377:ERI524377 FAX524377:FBE524377 FKT524377:FLA524377 FUP524377:FUW524377 GEL524377:GES524377 GOH524377:GOO524377 GYD524377:GYK524377 HHZ524377:HIG524377 HRV524377:HSC524377 IBR524377:IBY524377 ILN524377:ILU524377 IVJ524377:IVQ524377 JFF524377:JFM524377 JPB524377:JPI524377 JYX524377:JZE524377 KIT524377:KJA524377 KSP524377:KSW524377 LCL524377:LCS524377 LMH524377:LMO524377 LWD524377:LWK524377 MFZ524377:MGG524377 MPV524377:MQC524377 MZR524377:MZY524377 NJN524377:NJU524377 NTJ524377:NTQ524377 ODF524377:ODM524377 ONB524377:ONI524377 OWX524377:OXE524377 PGT524377:PHA524377 PQP524377:PQW524377 QAL524377:QAS524377 QKH524377:QKO524377 QUD524377:QUK524377 RDZ524377:REG524377 RNV524377:ROC524377 RXR524377:RXY524377 SHN524377:SHU524377 SRJ524377:SRQ524377 TBF524377:TBM524377 TLB524377:TLI524377 TUX524377:TVE524377 UET524377:UFA524377 UOP524377:UOW524377 UYL524377:UYS524377 VIH524377:VIO524377 VSD524377:VSK524377 WBZ524377:WCG524377 WLV524377:WMC524377 WVR524377:WVY524377 JF589913:JM589913 TB589913:TI589913 ACX589913:ADE589913 AMT589913:ANA589913 AWP589913:AWW589913 BGL589913:BGS589913 BQH589913:BQO589913 CAD589913:CAK589913 CJZ589913:CKG589913 CTV589913:CUC589913 DDR589913:DDY589913 DNN589913:DNU589913 DXJ589913:DXQ589913 EHF589913:EHM589913 ERB589913:ERI589913 FAX589913:FBE589913 FKT589913:FLA589913 FUP589913:FUW589913 GEL589913:GES589913 GOH589913:GOO589913 GYD589913:GYK589913 HHZ589913:HIG589913 HRV589913:HSC589913 IBR589913:IBY589913 ILN589913:ILU589913 IVJ589913:IVQ589913 JFF589913:JFM589913 JPB589913:JPI589913 JYX589913:JZE589913 KIT589913:KJA589913 KSP589913:KSW589913 LCL589913:LCS589913 LMH589913:LMO589913 LWD589913:LWK589913 MFZ589913:MGG589913 MPV589913:MQC589913 MZR589913:MZY589913 NJN589913:NJU589913 NTJ589913:NTQ589913 ODF589913:ODM589913 ONB589913:ONI589913 OWX589913:OXE589913 PGT589913:PHA589913 PQP589913:PQW589913 QAL589913:QAS589913 QKH589913:QKO589913 QUD589913:QUK589913 RDZ589913:REG589913 RNV589913:ROC589913 RXR589913:RXY589913 SHN589913:SHU589913 SRJ589913:SRQ589913 TBF589913:TBM589913 TLB589913:TLI589913 TUX589913:TVE589913 UET589913:UFA589913 UOP589913:UOW589913 UYL589913:UYS589913 VIH589913:VIO589913 VSD589913:VSK589913 WBZ589913:WCG589913 WLV589913:WMC589913 WVR589913:WVY589913 JF655449:JM655449 TB655449:TI655449 ACX655449:ADE655449 AMT655449:ANA655449 AWP655449:AWW655449 BGL655449:BGS655449 BQH655449:BQO655449 CAD655449:CAK655449 CJZ655449:CKG655449 CTV655449:CUC655449 DDR655449:DDY655449 DNN655449:DNU655449 DXJ655449:DXQ655449 EHF655449:EHM655449 ERB655449:ERI655449 FAX655449:FBE655449 FKT655449:FLA655449 FUP655449:FUW655449 GEL655449:GES655449 GOH655449:GOO655449 GYD655449:GYK655449 HHZ655449:HIG655449 HRV655449:HSC655449 IBR655449:IBY655449 ILN655449:ILU655449 IVJ655449:IVQ655449 JFF655449:JFM655449 JPB655449:JPI655449 JYX655449:JZE655449 KIT655449:KJA655449 KSP655449:KSW655449 LCL655449:LCS655449 LMH655449:LMO655449 LWD655449:LWK655449 MFZ655449:MGG655449 MPV655449:MQC655449 MZR655449:MZY655449 NJN655449:NJU655449 NTJ655449:NTQ655449 ODF655449:ODM655449 ONB655449:ONI655449 OWX655449:OXE655449 PGT655449:PHA655449 PQP655449:PQW655449 QAL655449:QAS655449 QKH655449:QKO655449 QUD655449:QUK655449 RDZ655449:REG655449 RNV655449:ROC655449 RXR655449:RXY655449 SHN655449:SHU655449 SRJ655449:SRQ655449 TBF655449:TBM655449 TLB655449:TLI655449 TUX655449:TVE655449 UET655449:UFA655449 UOP655449:UOW655449 UYL655449:UYS655449 VIH655449:VIO655449 VSD655449:VSK655449 WBZ655449:WCG655449 WLV655449:WMC655449 WVR655449:WVY655449 JF720985:JM720985 TB720985:TI720985 ACX720985:ADE720985 AMT720985:ANA720985 AWP720985:AWW720985 BGL720985:BGS720985 BQH720985:BQO720985 CAD720985:CAK720985 CJZ720985:CKG720985 CTV720985:CUC720985 DDR720985:DDY720985 DNN720985:DNU720985 DXJ720985:DXQ720985 EHF720985:EHM720985 ERB720985:ERI720985 FAX720985:FBE720985 FKT720985:FLA720985 FUP720985:FUW720985 GEL720985:GES720985 GOH720985:GOO720985 GYD720985:GYK720985 HHZ720985:HIG720985 HRV720985:HSC720985 IBR720985:IBY720985 ILN720985:ILU720985 IVJ720985:IVQ720985 JFF720985:JFM720985 JPB720985:JPI720985 JYX720985:JZE720985 KIT720985:KJA720985 KSP720985:KSW720985 LCL720985:LCS720985 LMH720985:LMO720985 LWD720985:LWK720985 MFZ720985:MGG720985 MPV720985:MQC720985 MZR720985:MZY720985 NJN720985:NJU720985 NTJ720985:NTQ720985 ODF720985:ODM720985 ONB720985:ONI720985 OWX720985:OXE720985 PGT720985:PHA720985 PQP720985:PQW720985 QAL720985:QAS720985 QKH720985:QKO720985 QUD720985:QUK720985 RDZ720985:REG720985 RNV720985:ROC720985 RXR720985:RXY720985 SHN720985:SHU720985 SRJ720985:SRQ720985 TBF720985:TBM720985 TLB720985:TLI720985 TUX720985:TVE720985 UET720985:UFA720985 UOP720985:UOW720985 UYL720985:UYS720985 VIH720985:VIO720985 VSD720985:VSK720985 WBZ720985:WCG720985 WLV720985:WMC720985 WVR720985:WVY720985 JF786521:JM786521 TB786521:TI786521 ACX786521:ADE786521 AMT786521:ANA786521 AWP786521:AWW786521 BGL786521:BGS786521 BQH786521:BQO786521 CAD786521:CAK786521 CJZ786521:CKG786521 CTV786521:CUC786521 DDR786521:DDY786521 DNN786521:DNU786521 DXJ786521:DXQ786521 EHF786521:EHM786521 ERB786521:ERI786521 FAX786521:FBE786521 FKT786521:FLA786521 FUP786521:FUW786521 GEL786521:GES786521 GOH786521:GOO786521 GYD786521:GYK786521 HHZ786521:HIG786521 HRV786521:HSC786521 IBR786521:IBY786521 ILN786521:ILU786521 IVJ786521:IVQ786521 JFF786521:JFM786521 JPB786521:JPI786521 JYX786521:JZE786521 KIT786521:KJA786521 KSP786521:KSW786521 LCL786521:LCS786521 LMH786521:LMO786521 LWD786521:LWK786521 MFZ786521:MGG786521 MPV786521:MQC786521 MZR786521:MZY786521 NJN786521:NJU786521 NTJ786521:NTQ786521 ODF786521:ODM786521 ONB786521:ONI786521 OWX786521:OXE786521 PGT786521:PHA786521 PQP786521:PQW786521 QAL786521:QAS786521 QKH786521:QKO786521 QUD786521:QUK786521 RDZ786521:REG786521 RNV786521:ROC786521 RXR786521:RXY786521 SHN786521:SHU786521 SRJ786521:SRQ786521 TBF786521:TBM786521 TLB786521:TLI786521 TUX786521:TVE786521 UET786521:UFA786521 UOP786521:UOW786521 UYL786521:UYS786521 VIH786521:VIO786521 VSD786521:VSK786521 WBZ786521:WCG786521 WLV786521:WMC786521 WVR786521:WVY786521 JF852057:JM852057 TB852057:TI852057 ACX852057:ADE852057 AMT852057:ANA852057 AWP852057:AWW852057 BGL852057:BGS852057 BQH852057:BQO852057 CAD852057:CAK852057 CJZ852057:CKG852057 CTV852057:CUC852057 DDR852057:DDY852057 DNN852057:DNU852057 DXJ852057:DXQ852057 EHF852057:EHM852057 ERB852057:ERI852057 FAX852057:FBE852057 FKT852057:FLA852057 FUP852057:FUW852057 GEL852057:GES852057 GOH852057:GOO852057 GYD852057:GYK852057 HHZ852057:HIG852057 HRV852057:HSC852057 IBR852057:IBY852057 ILN852057:ILU852057 IVJ852057:IVQ852057 JFF852057:JFM852057 JPB852057:JPI852057 JYX852057:JZE852057 KIT852057:KJA852057 KSP852057:KSW852057 LCL852057:LCS852057 LMH852057:LMO852057 LWD852057:LWK852057 MFZ852057:MGG852057 MPV852057:MQC852057 MZR852057:MZY852057 NJN852057:NJU852057 NTJ852057:NTQ852057 ODF852057:ODM852057 ONB852057:ONI852057 OWX852057:OXE852057 PGT852057:PHA852057 PQP852057:PQW852057 QAL852057:QAS852057 QKH852057:QKO852057 QUD852057:QUK852057 RDZ852057:REG852057 RNV852057:ROC852057 RXR852057:RXY852057 SHN852057:SHU852057 SRJ852057:SRQ852057 TBF852057:TBM852057 TLB852057:TLI852057 TUX852057:TVE852057 UET852057:UFA852057 UOP852057:UOW852057 UYL852057:UYS852057 VIH852057:VIO852057 VSD852057:VSK852057 WBZ852057:WCG852057 WLV852057:WMC852057 WVR852057:WVY852057 JF917593:JM917593 TB917593:TI917593 ACX917593:ADE917593 AMT917593:ANA917593 AWP917593:AWW917593 BGL917593:BGS917593 BQH917593:BQO917593 CAD917593:CAK917593 CJZ917593:CKG917593 CTV917593:CUC917593 DDR917593:DDY917593 DNN917593:DNU917593 DXJ917593:DXQ917593 EHF917593:EHM917593 ERB917593:ERI917593 FAX917593:FBE917593 FKT917593:FLA917593 FUP917593:FUW917593 GEL917593:GES917593 GOH917593:GOO917593 GYD917593:GYK917593 HHZ917593:HIG917593 HRV917593:HSC917593 IBR917593:IBY917593 ILN917593:ILU917593 IVJ917593:IVQ917593 JFF917593:JFM917593 JPB917593:JPI917593 JYX917593:JZE917593 KIT917593:KJA917593 KSP917593:KSW917593 LCL917593:LCS917593 LMH917593:LMO917593 LWD917593:LWK917593 MFZ917593:MGG917593 MPV917593:MQC917593 MZR917593:MZY917593 NJN917593:NJU917593 NTJ917593:NTQ917593 ODF917593:ODM917593 ONB917593:ONI917593 OWX917593:OXE917593 PGT917593:PHA917593 PQP917593:PQW917593 QAL917593:QAS917593 QKH917593:QKO917593 QUD917593:QUK917593 RDZ917593:REG917593 RNV917593:ROC917593 RXR917593:RXY917593 SHN917593:SHU917593 SRJ917593:SRQ917593 TBF917593:TBM917593 TLB917593:TLI917593 TUX917593:TVE917593 UET917593:UFA917593 UOP917593:UOW917593 UYL917593:UYS917593 VIH917593:VIO917593 VSD917593:VSK917593 WBZ917593:WCG917593 WLV917593:WMC917593 WVR917593:WVY917593 JF983129:JM983129 TB983129:TI983129 ACX983129:ADE983129 AMT983129:ANA983129 AWP983129:AWW983129 BGL983129:BGS983129 BQH983129:BQO983129 CAD983129:CAK983129 CJZ983129:CKG983129 CTV983129:CUC983129 DDR983129:DDY983129 DNN983129:DNU983129 DXJ983129:DXQ983129 EHF983129:EHM983129 ERB983129:ERI983129 FAX983129:FBE983129 FKT983129:FLA983129 FUP983129:FUW983129 GEL983129:GES983129 GOH983129:GOO983129 GYD983129:GYK983129 HHZ983129:HIG983129 HRV983129:HSC983129 IBR983129:IBY983129 ILN983129:ILU983129 IVJ983129:IVQ983129 JFF983129:JFM983129 JPB983129:JPI983129 JYX983129:JZE983129 KIT983129:KJA983129 KSP983129:KSW983129 LCL983129:LCS983129 LMH983129:LMO983129 LWD983129:LWK983129 MFZ983129:MGG983129 MPV983129:MQC983129 MZR983129:MZY983129 NJN983129:NJU983129 NTJ983129:NTQ983129 ODF983129:ODM983129 ONB983129:ONI983129 OWX983129:OXE983129 PGT983129:PHA983129 PQP983129:PQW983129 QAL983129:QAS983129 QKH983129:QKO983129 QUD983129:QUK983129 RDZ983129:REG983129 RNV983129:ROC983129 RXR983129:RXY983129 SHN983129:SHU983129 SRJ983129:SRQ983129 TBF983129:TBM983129 TLB983129:TLI983129 TUX983129:TVE983129 UET983129:UFA983129 UOP983129:UOW983129 UYL983129:UYS983129 VIH983129:VIO983129 VSD983129:VSK983129 WBZ983129:WCG983129 WLV983129:WMC983129 WVR983129:WVY983129 JF11:JM11 TB11:TI11 ACX11:ADE11 AMT11:ANA11 AWP11:AWW11 BGL11:BGS11 BQH11:BQO11 CAD11:CAK11 CJZ11:CKG11 CTV11:CUC11 DDR11:DDY11 DNN11:DNU11 DXJ11:DXQ11 EHF11:EHM11 ERB11:ERI11 FAX11:FBE11 FKT11:FLA11 FUP11:FUW11 GEL11:GES11 GOH11:GOO11 GYD11:GYK11 HHZ11:HIG11 HRV11:HSC11 IBR11:IBY11 ILN11:ILU11 IVJ11:IVQ11 JFF11:JFM11 JPB11:JPI11 JYX11:JZE11 KIT11:KJA11 KSP11:KSW11 LCL11:LCS11 LMH11:LMO11 LWD11:LWK11 MFZ11:MGG11 MPV11:MQC11 MZR11:MZY11 NJN11:NJU11 NTJ11:NTQ11 ODF11:ODM11 ONB11:ONI11 OWX11:OXE11 PGT11:PHA11 PQP11:PQW11 QAL11:QAS11 QKH11:QKO11 QUD11:QUK11 RDZ11:REG11 RNV11:ROC11 RXR11:RXY11 SHN11:SHU11 SRJ11:SRQ11 TBF11:TBM11 TLB11:TLI11 TUX11:TVE11 UET11:UFA11 UOP11:UOW11 UYL11:UYS11 VIH11:VIO11 VSD11:VSK11 WBZ11:WCG11 WLV11:WMC11 WVR11:WVY11 JF65547:JM65547 TB65547:TI65547 ACX65547:ADE65547 AMT65547:ANA65547 AWP65547:AWW65547 BGL65547:BGS65547 BQH65547:BQO65547 CAD65547:CAK65547 CJZ65547:CKG65547 CTV65547:CUC65547 DDR65547:DDY65547 DNN65547:DNU65547 DXJ65547:DXQ65547 EHF65547:EHM65547 ERB65547:ERI65547 FAX65547:FBE65547 FKT65547:FLA65547 FUP65547:FUW65547 GEL65547:GES65547 GOH65547:GOO65547 GYD65547:GYK65547 HHZ65547:HIG65547 HRV65547:HSC65547 IBR65547:IBY65547 ILN65547:ILU65547 IVJ65547:IVQ65547 JFF65547:JFM65547 JPB65547:JPI65547 JYX65547:JZE65547 KIT65547:KJA65547 KSP65547:KSW65547 LCL65547:LCS65547 LMH65547:LMO65547 LWD65547:LWK65547 MFZ65547:MGG65547 MPV65547:MQC65547 MZR65547:MZY65547 NJN65547:NJU65547 NTJ65547:NTQ65547 ODF65547:ODM65547 ONB65547:ONI65547 OWX65547:OXE65547 PGT65547:PHA65547 PQP65547:PQW65547 QAL65547:QAS65547 QKH65547:QKO65547 QUD65547:QUK65547 RDZ65547:REG65547 RNV65547:ROC65547 RXR65547:RXY65547 SHN65547:SHU65547 SRJ65547:SRQ65547 TBF65547:TBM65547 TLB65547:TLI65547 TUX65547:TVE65547 UET65547:UFA65547 UOP65547:UOW65547 UYL65547:UYS65547 VIH65547:VIO65547 VSD65547:VSK65547 WBZ65547:WCG65547 WLV65547:WMC65547 WVR65547:WVY65547 JF131083:JM131083 TB131083:TI131083 ACX131083:ADE131083 AMT131083:ANA131083 AWP131083:AWW131083 BGL131083:BGS131083 BQH131083:BQO131083 CAD131083:CAK131083 CJZ131083:CKG131083 CTV131083:CUC131083 DDR131083:DDY131083 DNN131083:DNU131083 DXJ131083:DXQ131083 EHF131083:EHM131083 ERB131083:ERI131083 FAX131083:FBE131083 FKT131083:FLA131083 FUP131083:FUW131083 GEL131083:GES131083 GOH131083:GOO131083 GYD131083:GYK131083 HHZ131083:HIG131083 HRV131083:HSC131083 IBR131083:IBY131083 ILN131083:ILU131083 IVJ131083:IVQ131083 JFF131083:JFM131083 JPB131083:JPI131083 JYX131083:JZE131083 KIT131083:KJA131083 KSP131083:KSW131083 LCL131083:LCS131083 LMH131083:LMO131083 LWD131083:LWK131083 MFZ131083:MGG131083 MPV131083:MQC131083 MZR131083:MZY131083 NJN131083:NJU131083 NTJ131083:NTQ131083 ODF131083:ODM131083 ONB131083:ONI131083 OWX131083:OXE131083 PGT131083:PHA131083 PQP131083:PQW131083 QAL131083:QAS131083 QKH131083:QKO131083 QUD131083:QUK131083 RDZ131083:REG131083 RNV131083:ROC131083 RXR131083:RXY131083 SHN131083:SHU131083 SRJ131083:SRQ131083 TBF131083:TBM131083 TLB131083:TLI131083 TUX131083:TVE131083 UET131083:UFA131083 UOP131083:UOW131083 UYL131083:UYS131083 VIH131083:VIO131083 VSD131083:VSK131083 WBZ131083:WCG131083 WLV131083:WMC131083 WVR131083:WVY131083 JF196619:JM196619 TB196619:TI196619 ACX196619:ADE196619 AMT196619:ANA196619 AWP196619:AWW196619 BGL196619:BGS196619 BQH196619:BQO196619 CAD196619:CAK196619 CJZ196619:CKG196619 CTV196619:CUC196619 DDR196619:DDY196619 DNN196619:DNU196619 DXJ196619:DXQ196619 EHF196619:EHM196619 ERB196619:ERI196619 FAX196619:FBE196619 FKT196619:FLA196619 FUP196619:FUW196619 GEL196619:GES196619 GOH196619:GOO196619 GYD196619:GYK196619 HHZ196619:HIG196619 HRV196619:HSC196619 IBR196619:IBY196619 ILN196619:ILU196619 IVJ196619:IVQ196619 JFF196619:JFM196619 JPB196619:JPI196619 JYX196619:JZE196619 KIT196619:KJA196619 KSP196619:KSW196619 LCL196619:LCS196619 LMH196619:LMO196619 LWD196619:LWK196619 MFZ196619:MGG196619 MPV196619:MQC196619 MZR196619:MZY196619 NJN196619:NJU196619 NTJ196619:NTQ196619 ODF196619:ODM196619 ONB196619:ONI196619 OWX196619:OXE196619 PGT196619:PHA196619 PQP196619:PQW196619 QAL196619:QAS196619 QKH196619:QKO196619 QUD196619:QUK196619 RDZ196619:REG196619 RNV196619:ROC196619 RXR196619:RXY196619 SHN196619:SHU196619 SRJ196619:SRQ196619 TBF196619:TBM196619 TLB196619:TLI196619 TUX196619:TVE196619 UET196619:UFA196619 UOP196619:UOW196619 UYL196619:UYS196619 VIH196619:VIO196619 VSD196619:VSK196619 WBZ196619:WCG196619 WLV196619:WMC196619 WVR196619:WVY196619 JF262155:JM262155 TB262155:TI262155 ACX262155:ADE262155 AMT262155:ANA262155 AWP262155:AWW262155 BGL262155:BGS262155 BQH262155:BQO262155 CAD262155:CAK262155 CJZ262155:CKG262155 CTV262155:CUC262155 DDR262155:DDY262155 DNN262155:DNU262155 DXJ262155:DXQ262155 EHF262155:EHM262155 ERB262155:ERI262155 FAX262155:FBE262155 FKT262155:FLA262155 FUP262155:FUW262155 GEL262155:GES262155 GOH262155:GOO262155 GYD262155:GYK262155 HHZ262155:HIG262155 HRV262155:HSC262155 IBR262155:IBY262155 ILN262155:ILU262155 IVJ262155:IVQ262155 JFF262155:JFM262155 JPB262155:JPI262155 JYX262155:JZE262155 KIT262155:KJA262155 KSP262155:KSW262155 LCL262155:LCS262155 LMH262155:LMO262155 LWD262155:LWK262155 MFZ262155:MGG262155 MPV262155:MQC262155 MZR262155:MZY262155 NJN262155:NJU262155 NTJ262155:NTQ262155 ODF262155:ODM262155 ONB262155:ONI262155 OWX262155:OXE262155 PGT262155:PHA262155 PQP262155:PQW262155 QAL262155:QAS262155 QKH262155:QKO262155 QUD262155:QUK262155 RDZ262155:REG262155 RNV262155:ROC262155 RXR262155:RXY262155 SHN262155:SHU262155 SRJ262155:SRQ262155 TBF262155:TBM262155 TLB262155:TLI262155 TUX262155:TVE262155 UET262155:UFA262155 UOP262155:UOW262155 UYL262155:UYS262155 VIH262155:VIO262155 VSD262155:VSK262155 WBZ262155:WCG262155 WLV262155:WMC262155 WVR262155:WVY262155 JF327691:JM327691 TB327691:TI327691 ACX327691:ADE327691 AMT327691:ANA327691 AWP327691:AWW327691 BGL327691:BGS327691 BQH327691:BQO327691 CAD327691:CAK327691 CJZ327691:CKG327691 CTV327691:CUC327691 DDR327691:DDY327691 DNN327691:DNU327691 DXJ327691:DXQ327691 EHF327691:EHM327691 ERB327691:ERI327691 FAX327691:FBE327691 FKT327691:FLA327691 FUP327691:FUW327691 GEL327691:GES327691 GOH327691:GOO327691 GYD327691:GYK327691 HHZ327691:HIG327691 HRV327691:HSC327691 IBR327691:IBY327691 ILN327691:ILU327691 IVJ327691:IVQ327691 JFF327691:JFM327691 JPB327691:JPI327691 JYX327691:JZE327691 KIT327691:KJA327691 KSP327691:KSW327691 LCL327691:LCS327691 LMH327691:LMO327691 LWD327691:LWK327691 MFZ327691:MGG327691 MPV327691:MQC327691 MZR327691:MZY327691 NJN327691:NJU327691 NTJ327691:NTQ327691 ODF327691:ODM327691 ONB327691:ONI327691 OWX327691:OXE327691 PGT327691:PHA327691 PQP327691:PQW327691 QAL327691:QAS327691 QKH327691:QKO327691 QUD327691:QUK327691 RDZ327691:REG327691 RNV327691:ROC327691 RXR327691:RXY327691 SHN327691:SHU327691 SRJ327691:SRQ327691 TBF327691:TBM327691 TLB327691:TLI327691 TUX327691:TVE327691 UET327691:UFA327691 UOP327691:UOW327691 UYL327691:UYS327691 VIH327691:VIO327691 VSD327691:VSK327691 WBZ327691:WCG327691 WLV327691:WMC327691 WVR327691:WVY327691 JF393227:JM393227 TB393227:TI393227 ACX393227:ADE393227 AMT393227:ANA393227 AWP393227:AWW393227 BGL393227:BGS393227 BQH393227:BQO393227 CAD393227:CAK393227 CJZ393227:CKG393227 CTV393227:CUC393227 DDR393227:DDY393227 DNN393227:DNU393227 DXJ393227:DXQ393227 EHF393227:EHM393227 ERB393227:ERI393227 FAX393227:FBE393227 FKT393227:FLA393227 FUP393227:FUW393227 GEL393227:GES393227 GOH393227:GOO393227 GYD393227:GYK393227 HHZ393227:HIG393227 HRV393227:HSC393227 IBR393227:IBY393227 ILN393227:ILU393227 IVJ393227:IVQ393227 JFF393227:JFM393227 JPB393227:JPI393227 JYX393227:JZE393227 KIT393227:KJA393227 KSP393227:KSW393227 LCL393227:LCS393227 LMH393227:LMO393227 LWD393227:LWK393227 MFZ393227:MGG393227 MPV393227:MQC393227 MZR393227:MZY393227 NJN393227:NJU393227 NTJ393227:NTQ393227 ODF393227:ODM393227 ONB393227:ONI393227 OWX393227:OXE393227 PGT393227:PHA393227 PQP393227:PQW393227 QAL393227:QAS393227 QKH393227:QKO393227 QUD393227:QUK393227 RDZ393227:REG393227 RNV393227:ROC393227 RXR393227:RXY393227 SHN393227:SHU393227 SRJ393227:SRQ393227 TBF393227:TBM393227 TLB393227:TLI393227 TUX393227:TVE393227 UET393227:UFA393227 UOP393227:UOW393227 UYL393227:UYS393227 VIH393227:VIO393227 VSD393227:VSK393227 WBZ393227:WCG393227 WLV393227:WMC393227 WVR393227:WVY393227 JF458763:JM458763 TB458763:TI458763 ACX458763:ADE458763 AMT458763:ANA458763 AWP458763:AWW458763 BGL458763:BGS458763 BQH458763:BQO458763 CAD458763:CAK458763 CJZ458763:CKG458763 CTV458763:CUC458763 DDR458763:DDY458763 DNN458763:DNU458763 DXJ458763:DXQ458763 EHF458763:EHM458763 ERB458763:ERI458763 FAX458763:FBE458763 FKT458763:FLA458763 FUP458763:FUW458763 GEL458763:GES458763 GOH458763:GOO458763 GYD458763:GYK458763 HHZ458763:HIG458763 HRV458763:HSC458763 IBR458763:IBY458763 ILN458763:ILU458763 IVJ458763:IVQ458763 JFF458763:JFM458763 JPB458763:JPI458763 JYX458763:JZE458763 KIT458763:KJA458763 KSP458763:KSW458763 LCL458763:LCS458763 LMH458763:LMO458763 LWD458763:LWK458763 MFZ458763:MGG458763 MPV458763:MQC458763 MZR458763:MZY458763 NJN458763:NJU458763 NTJ458763:NTQ458763 ODF458763:ODM458763 ONB458763:ONI458763 OWX458763:OXE458763 PGT458763:PHA458763 PQP458763:PQW458763 QAL458763:QAS458763 QKH458763:QKO458763 QUD458763:QUK458763 RDZ458763:REG458763 RNV458763:ROC458763 RXR458763:RXY458763 SHN458763:SHU458763 SRJ458763:SRQ458763 TBF458763:TBM458763 TLB458763:TLI458763 TUX458763:TVE458763 UET458763:UFA458763 UOP458763:UOW458763 UYL458763:UYS458763 VIH458763:VIO458763 VSD458763:VSK458763 WBZ458763:WCG458763 WLV458763:WMC458763 WVR458763:WVY458763 JF524299:JM524299 TB524299:TI524299 ACX524299:ADE524299 AMT524299:ANA524299 AWP524299:AWW524299 BGL524299:BGS524299 BQH524299:BQO524299 CAD524299:CAK524299 CJZ524299:CKG524299 CTV524299:CUC524299 DDR524299:DDY524299 DNN524299:DNU524299 DXJ524299:DXQ524299 EHF524299:EHM524299 ERB524299:ERI524299 FAX524299:FBE524299 FKT524299:FLA524299 FUP524299:FUW524299 GEL524299:GES524299 GOH524299:GOO524299 GYD524299:GYK524299 HHZ524299:HIG524299 HRV524299:HSC524299 IBR524299:IBY524299 ILN524299:ILU524299 IVJ524299:IVQ524299 JFF524299:JFM524299 JPB524299:JPI524299 JYX524299:JZE524299 KIT524299:KJA524299 KSP524299:KSW524299 LCL524299:LCS524299 LMH524299:LMO524299 LWD524299:LWK524299 MFZ524299:MGG524299 MPV524299:MQC524299 MZR524299:MZY524299 NJN524299:NJU524299 NTJ524299:NTQ524299 ODF524299:ODM524299 ONB524299:ONI524299 OWX524299:OXE524299 PGT524299:PHA524299 PQP524299:PQW524299 QAL524299:QAS524299 QKH524299:QKO524299 QUD524299:QUK524299 RDZ524299:REG524299 RNV524299:ROC524299 RXR524299:RXY524299 SHN524299:SHU524299 SRJ524299:SRQ524299 TBF524299:TBM524299 TLB524299:TLI524299 TUX524299:TVE524299 UET524299:UFA524299 UOP524299:UOW524299 UYL524299:UYS524299 VIH524299:VIO524299 VSD524299:VSK524299 WBZ524299:WCG524299 WLV524299:WMC524299 WVR524299:WVY524299 JF589835:JM589835 TB589835:TI589835 ACX589835:ADE589835 AMT589835:ANA589835 AWP589835:AWW589835 BGL589835:BGS589835 BQH589835:BQO589835 CAD589835:CAK589835 CJZ589835:CKG589835 CTV589835:CUC589835 DDR589835:DDY589835 DNN589835:DNU589835 DXJ589835:DXQ589835 EHF589835:EHM589835 ERB589835:ERI589835 FAX589835:FBE589835 FKT589835:FLA589835 FUP589835:FUW589835 GEL589835:GES589835 GOH589835:GOO589835 GYD589835:GYK589835 HHZ589835:HIG589835 HRV589835:HSC589835 IBR589835:IBY589835 ILN589835:ILU589835 IVJ589835:IVQ589835 JFF589835:JFM589835 JPB589835:JPI589835 JYX589835:JZE589835 KIT589835:KJA589835 KSP589835:KSW589835 LCL589835:LCS589835 LMH589835:LMO589835 LWD589835:LWK589835 MFZ589835:MGG589835 MPV589835:MQC589835 MZR589835:MZY589835 NJN589835:NJU589835 NTJ589835:NTQ589835 ODF589835:ODM589835 ONB589835:ONI589835 OWX589835:OXE589835 PGT589835:PHA589835 PQP589835:PQW589835 QAL589835:QAS589835 QKH589835:QKO589835 QUD589835:QUK589835 RDZ589835:REG589835 RNV589835:ROC589835 RXR589835:RXY589835 SHN589835:SHU589835 SRJ589835:SRQ589835 TBF589835:TBM589835 TLB589835:TLI589835 TUX589835:TVE589835 UET589835:UFA589835 UOP589835:UOW589835 UYL589835:UYS589835 VIH589835:VIO589835 VSD589835:VSK589835 WBZ589835:WCG589835 WLV589835:WMC589835 WVR589835:WVY589835 JF655371:JM655371 TB655371:TI655371 ACX655371:ADE655371 AMT655371:ANA655371 AWP655371:AWW655371 BGL655371:BGS655371 BQH655371:BQO655371 CAD655371:CAK655371 CJZ655371:CKG655371 CTV655371:CUC655371 DDR655371:DDY655371 DNN655371:DNU655371 DXJ655371:DXQ655371 EHF655371:EHM655371 ERB655371:ERI655371 FAX655371:FBE655371 FKT655371:FLA655371 FUP655371:FUW655371 GEL655371:GES655371 GOH655371:GOO655371 GYD655371:GYK655371 HHZ655371:HIG655371 HRV655371:HSC655371 IBR655371:IBY655371 ILN655371:ILU655371 IVJ655371:IVQ655371 JFF655371:JFM655371 JPB655371:JPI655371 JYX655371:JZE655371 KIT655371:KJA655371 KSP655371:KSW655371 LCL655371:LCS655371 LMH655371:LMO655371 LWD655371:LWK655371 MFZ655371:MGG655371 MPV655371:MQC655371 MZR655371:MZY655371 NJN655371:NJU655371 NTJ655371:NTQ655371 ODF655371:ODM655371 ONB655371:ONI655371 OWX655371:OXE655371 PGT655371:PHA655371 PQP655371:PQW655371 QAL655371:QAS655371 QKH655371:QKO655371 QUD655371:QUK655371 RDZ655371:REG655371 RNV655371:ROC655371 RXR655371:RXY655371 SHN655371:SHU655371 SRJ655371:SRQ655371 TBF655371:TBM655371 TLB655371:TLI655371 TUX655371:TVE655371 UET655371:UFA655371 UOP655371:UOW655371 UYL655371:UYS655371 VIH655371:VIO655371 VSD655371:VSK655371 WBZ655371:WCG655371 WLV655371:WMC655371 WVR655371:WVY655371 JF720907:JM720907 TB720907:TI720907 ACX720907:ADE720907 AMT720907:ANA720907 AWP720907:AWW720907 BGL720907:BGS720907 BQH720907:BQO720907 CAD720907:CAK720907 CJZ720907:CKG720907 CTV720907:CUC720907 DDR720907:DDY720907 DNN720907:DNU720907 DXJ720907:DXQ720907 EHF720907:EHM720907 ERB720907:ERI720907 FAX720907:FBE720907 FKT720907:FLA720907 FUP720907:FUW720907 GEL720907:GES720907 GOH720907:GOO720907 GYD720907:GYK720907 HHZ720907:HIG720907 HRV720907:HSC720907 IBR720907:IBY720907 ILN720907:ILU720907 IVJ720907:IVQ720907 JFF720907:JFM720907 JPB720907:JPI720907 JYX720907:JZE720907 KIT720907:KJA720907 KSP720907:KSW720907 LCL720907:LCS720907 LMH720907:LMO720907 LWD720907:LWK720907 MFZ720907:MGG720907 MPV720907:MQC720907 MZR720907:MZY720907 NJN720907:NJU720907 NTJ720907:NTQ720907 ODF720907:ODM720907 ONB720907:ONI720907 OWX720907:OXE720907 PGT720907:PHA720907 PQP720907:PQW720907 QAL720907:QAS720907 QKH720907:QKO720907 QUD720907:QUK720907 RDZ720907:REG720907 RNV720907:ROC720907 RXR720907:RXY720907 SHN720907:SHU720907 SRJ720907:SRQ720907 TBF720907:TBM720907 TLB720907:TLI720907 TUX720907:TVE720907 UET720907:UFA720907 UOP720907:UOW720907 UYL720907:UYS720907 VIH720907:VIO720907 VSD720907:VSK720907 WBZ720907:WCG720907 WLV720907:WMC720907 WVR720907:WVY720907 JF786443:JM786443 TB786443:TI786443 ACX786443:ADE786443 AMT786443:ANA786443 AWP786443:AWW786443 BGL786443:BGS786443 BQH786443:BQO786443 CAD786443:CAK786443 CJZ786443:CKG786443 CTV786443:CUC786443 DDR786443:DDY786443 DNN786443:DNU786443 DXJ786443:DXQ786443 EHF786443:EHM786443 ERB786443:ERI786443 FAX786443:FBE786443 FKT786443:FLA786443 FUP786443:FUW786443 GEL786443:GES786443 GOH786443:GOO786443 GYD786443:GYK786443 HHZ786443:HIG786443 HRV786443:HSC786443 IBR786443:IBY786443 ILN786443:ILU786443 IVJ786443:IVQ786443 JFF786443:JFM786443 JPB786443:JPI786443 JYX786443:JZE786443 KIT786443:KJA786443 KSP786443:KSW786443 LCL786443:LCS786443 LMH786443:LMO786443 LWD786443:LWK786443 MFZ786443:MGG786443 MPV786443:MQC786443 MZR786443:MZY786443 NJN786443:NJU786443 NTJ786443:NTQ786443 ODF786443:ODM786443 ONB786443:ONI786443 OWX786443:OXE786443 PGT786443:PHA786443 PQP786443:PQW786443 QAL786443:QAS786443 QKH786443:QKO786443 QUD786443:QUK786443 RDZ786443:REG786443 RNV786443:ROC786443 RXR786443:RXY786443 SHN786443:SHU786443 SRJ786443:SRQ786443 TBF786443:TBM786443 TLB786443:TLI786443 TUX786443:TVE786443 UET786443:UFA786443 UOP786443:UOW786443 UYL786443:UYS786443 VIH786443:VIO786443 VSD786443:VSK786443 WBZ786443:WCG786443 WLV786443:WMC786443 WVR786443:WVY786443 JF851979:JM851979 TB851979:TI851979 ACX851979:ADE851979 AMT851979:ANA851979 AWP851979:AWW851979 BGL851979:BGS851979 BQH851979:BQO851979 CAD851979:CAK851979 CJZ851979:CKG851979 CTV851979:CUC851979 DDR851979:DDY851979 DNN851979:DNU851979 DXJ851979:DXQ851979 EHF851979:EHM851979 ERB851979:ERI851979 FAX851979:FBE851979 FKT851979:FLA851979 FUP851979:FUW851979 GEL851979:GES851979 GOH851979:GOO851979 GYD851979:GYK851979 HHZ851979:HIG851979 HRV851979:HSC851979 IBR851979:IBY851979 ILN851979:ILU851979 IVJ851979:IVQ851979 JFF851979:JFM851979 JPB851979:JPI851979 JYX851979:JZE851979 KIT851979:KJA851979 KSP851979:KSW851979 LCL851979:LCS851979 LMH851979:LMO851979 LWD851979:LWK851979 MFZ851979:MGG851979 MPV851979:MQC851979 MZR851979:MZY851979 NJN851979:NJU851979 NTJ851979:NTQ851979 ODF851979:ODM851979 ONB851979:ONI851979 OWX851979:OXE851979 PGT851979:PHA851979 PQP851979:PQW851979 QAL851979:QAS851979 QKH851979:QKO851979 QUD851979:QUK851979 RDZ851979:REG851979 RNV851979:ROC851979 RXR851979:RXY851979 SHN851979:SHU851979 SRJ851979:SRQ851979 TBF851979:TBM851979 TLB851979:TLI851979 TUX851979:TVE851979 UET851979:UFA851979 UOP851979:UOW851979 UYL851979:UYS851979 VIH851979:VIO851979 VSD851979:VSK851979 WBZ851979:WCG851979 WLV851979:WMC851979 WVR851979:WVY851979 JF917515:JM917515 TB917515:TI917515 ACX917515:ADE917515 AMT917515:ANA917515 AWP917515:AWW917515 BGL917515:BGS917515 BQH917515:BQO917515 CAD917515:CAK917515 CJZ917515:CKG917515 CTV917515:CUC917515 DDR917515:DDY917515 DNN917515:DNU917515 DXJ917515:DXQ917515 EHF917515:EHM917515 ERB917515:ERI917515 FAX917515:FBE917515 FKT917515:FLA917515 FUP917515:FUW917515 GEL917515:GES917515 GOH917515:GOO917515 GYD917515:GYK917515 HHZ917515:HIG917515 HRV917515:HSC917515 IBR917515:IBY917515 ILN917515:ILU917515 IVJ917515:IVQ917515 JFF917515:JFM917515 JPB917515:JPI917515 JYX917515:JZE917515 KIT917515:KJA917515 KSP917515:KSW917515 LCL917515:LCS917515 LMH917515:LMO917515 LWD917515:LWK917515 MFZ917515:MGG917515 MPV917515:MQC917515 MZR917515:MZY917515 NJN917515:NJU917515 NTJ917515:NTQ917515 ODF917515:ODM917515 ONB917515:ONI917515 OWX917515:OXE917515 PGT917515:PHA917515 PQP917515:PQW917515 QAL917515:QAS917515 QKH917515:QKO917515 QUD917515:QUK917515 RDZ917515:REG917515 RNV917515:ROC917515 RXR917515:RXY917515 SHN917515:SHU917515 SRJ917515:SRQ917515 TBF917515:TBM917515 TLB917515:TLI917515 TUX917515:TVE917515 UET917515:UFA917515 UOP917515:UOW917515 UYL917515:UYS917515 VIH917515:VIO917515 VSD917515:VSK917515 WBZ917515:WCG917515 WLV917515:WMC917515 WVR917515:WVY917515 WVR983051:WVY983051 JF983051:JM983051 TB983051:TI983051 ACX983051:ADE983051 AMT983051:ANA983051 AWP983051:AWW983051 BGL983051:BGS983051 BQH983051:BQO983051 CAD983051:CAK983051 CJZ983051:CKG983051 CTV983051:CUC983051 DDR983051:DDY983051 DNN983051:DNU983051 DXJ983051:DXQ983051 EHF983051:EHM983051 ERB983051:ERI983051 FAX983051:FBE983051 FKT983051:FLA983051 FUP983051:FUW983051 GEL983051:GES983051 GOH983051:GOO983051 GYD983051:GYK983051 HHZ983051:HIG983051 HRV983051:HSC983051 IBR983051:IBY983051 ILN983051:ILU983051 IVJ983051:IVQ983051 JFF983051:JFM983051 JPB983051:JPI983051 JYX983051:JZE983051 KIT983051:KJA983051 KSP983051:KSW983051 LCL983051:LCS983051 LMH983051:LMO983051 LWD983051:LWK983051 MFZ983051:MGG983051 MPV983051:MQC983051 MZR983051:MZY983051 NJN983051:NJU983051 NTJ983051:NTQ983051 ODF983051:ODM983051 ONB983051:ONI983051 OWX983051:OXE983051 PGT983051:PHA983051 PQP983051:PQW983051 QAL983051:QAS983051 QKH983051:QKO983051 QUD983051:QUK983051 RDZ983051:REG983051 RNV983051:ROC983051 RXR983051:RXY983051 SHN983051:SHU983051 SRJ983051:SRQ983051 TBF983051:TBM983051 TLB983051:TLI983051 TUX983051:TVE983051 UET983051:UFA983051 UOP983051:UOW983051 UYL983051:UYS983051 VIH983051:VIO983051 VSD983051:VSK983051 WBZ983051:WCG983051 WLV983051:WMC983051 G983051:Q983051 G917515:Q917515 G851979:Q851979 G786443:Q786443 G720907:Q720907 G655371:Q655371 G589835:Q589835 G524299:Q524299 G458763:Q458763 G393227:Q393227 G327691:Q327691 G262155:Q262155 G196619:Q196619 G131083:Q131083 G65547:Q65547 G11:Q11 G983129:Q983129 G917593:Q917593 G852057:Q852057 G786521:Q786521 G720985:Q720985 G655449:Q655449 G589913:Q589913 G524377:Q524377 G458841:Q458841 G393305:Q393305 G327769:Q327769 G262233:Q262233 G196697:Q196697 G131161:Q131161 G65625:Q65625 G89:Q89 G983345:Q983345 G917809:Q917809 G852273:Q852273 G786737:Q786737 G721201:Q721201 G655665:Q655665 G590129:Q590129 G524593:Q524593 G459057:Q459057 G393521:Q393521 G327985:Q327985 G262449:Q262449 G196913:Q196913 G131377:Q131377 G65841:Q65841 G305:Q305" xr:uid="{00000000-0002-0000-0200-000000000000}">
      <formula1>"駅施設,地上建物"</formula1>
    </dataValidation>
    <dataValidation type="list" allowBlank="1" showInputMessage="1" showErrorMessage="1" sqref="JF85:JM85 TB85:TI85 ACX85:ADE85 AMT85:ANA85 AWP85:AWW85 BGL85:BGS85 BQH85:BQO85 CAD85:CAK85 CJZ85:CKG85 CTV85:CUC85 DDR85:DDY85 DNN85:DNU85 DXJ85:DXQ85 EHF85:EHM85 ERB85:ERI85 FAX85:FBE85 FKT85:FLA85 FUP85:FUW85 GEL85:GES85 GOH85:GOO85 GYD85:GYK85 HHZ85:HIG85 HRV85:HSC85 IBR85:IBY85 ILN85:ILU85 IVJ85:IVQ85 JFF85:JFM85 JPB85:JPI85 JYX85:JZE85 KIT85:KJA85 KSP85:KSW85 LCL85:LCS85 LMH85:LMO85 LWD85:LWK85 MFZ85:MGG85 MPV85:MQC85 MZR85:MZY85 NJN85:NJU85 NTJ85:NTQ85 ODF85:ODM85 ONB85:ONI85 OWX85:OXE85 PGT85:PHA85 PQP85:PQW85 QAL85:QAS85 QKH85:QKO85 QUD85:QUK85 RDZ85:REG85 RNV85:ROC85 RXR85:RXY85 SHN85:SHU85 SRJ85:SRQ85 TBF85:TBM85 TLB85:TLI85 TUX85:TVE85 UET85:UFA85 UOP85:UOW85 UYL85:UYS85 VIH85:VIO85 VSD85:VSK85 WBZ85:WCG85 WLV85:WMC85 WVR85:WVY85 JF65621:JM65621 TB65621:TI65621 ACX65621:ADE65621 AMT65621:ANA65621 AWP65621:AWW65621 BGL65621:BGS65621 BQH65621:BQO65621 CAD65621:CAK65621 CJZ65621:CKG65621 CTV65621:CUC65621 DDR65621:DDY65621 DNN65621:DNU65621 DXJ65621:DXQ65621 EHF65621:EHM65621 ERB65621:ERI65621 FAX65621:FBE65621 FKT65621:FLA65621 FUP65621:FUW65621 GEL65621:GES65621 GOH65621:GOO65621 GYD65621:GYK65621 HHZ65621:HIG65621 HRV65621:HSC65621 IBR65621:IBY65621 ILN65621:ILU65621 IVJ65621:IVQ65621 JFF65621:JFM65621 JPB65621:JPI65621 JYX65621:JZE65621 KIT65621:KJA65621 KSP65621:KSW65621 LCL65621:LCS65621 LMH65621:LMO65621 LWD65621:LWK65621 MFZ65621:MGG65621 MPV65621:MQC65621 MZR65621:MZY65621 NJN65621:NJU65621 NTJ65621:NTQ65621 ODF65621:ODM65621 ONB65621:ONI65621 OWX65621:OXE65621 PGT65621:PHA65621 PQP65621:PQW65621 QAL65621:QAS65621 QKH65621:QKO65621 QUD65621:QUK65621 RDZ65621:REG65621 RNV65621:ROC65621 RXR65621:RXY65621 SHN65621:SHU65621 SRJ65621:SRQ65621 TBF65621:TBM65621 TLB65621:TLI65621 TUX65621:TVE65621 UET65621:UFA65621 UOP65621:UOW65621 UYL65621:UYS65621 VIH65621:VIO65621 VSD65621:VSK65621 WBZ65621:WCG65621 WLV65621:WMC65621 WVR65621:WVY65621 JF131157:JM131157 TB131157:TI131157 ACX131157:ADE131157 AMT131157:ANA131157 AWP131157:AWW131157 BGL131157:BGS131157 BQH131157:BQO131157 CAD131157:CAK131157 CJZ131157:CKG131157 CTV131157:CUC131157 DDR131157:DDY131157 DNN131157:DNU131157 DXJ131157:DXQ131157 EHF131157:EHM131157 ERB131157:ERI131157 FAX131157:FBE131157 FKT131157:FLA131157 FUP131157:FUW131157 GEL131157:GES131157 GOH131157:GOO131157 GYD131157:GYK131157 HHZ131157:HIG131157 HRV131157:HSC131157 IBR131157:IBY131157 ILN131157:ILU131157 IVJ131157:IVQ131157 JFF131157:JFM131157 JPB131157:JPI131157 JYX131157:JZE131157 KIT131157:KJA131157 KSP131157:KSW131157 LCL131157:LCS131157 LMH131157:LMO131157 LWD131157:LWK131157 MFZ131157:MGG131157 MPV131157:MQC131157 MZR131157:MZY131157 NJN131157:NJU131157 NTJ131157:NTQ131157 ODF131157:ODM131157 ONB131157:ONI131157 OWX131157:OXE131157 PGT131157:PHA131157 PQP131157:PQW131157 QAL131157:QAS131157 QKH131157:QKO131157 QUD131157:QUK131157 RDZ131157:REG131157 RNV131157:ROC131157 RXR131157:RXY131157 SHN131157:SHU131157 SRJ131157:SRQ131157 TBF131157:TBM131157 TLB131157:TLI131157 TUX131157:TVE131157 UET131157:UFA131157 UOP131157:UOW131157 UYL131157:UYS131157 VIH131157:VIO131157 VSD131157:VSK131157 WBZ131157:WCG131157 WLV131157:WMC131157 WVR131157:WVY131157 JF196693:JM196693 TB196693:TI196693 ACX196693:ADE196693 AMT196693:ANA196693 AWP196693:AWW196693 BGL196693:BGS196693 BQH196693:BQO196693 CAD196693:CAK196693 CJZ196693:CKG196693 CTV196693:CUC196693 DDR196693:DDY196693 DNN196693:DNU196693 DXJ196693:DXQ196693 EHF196693:EHM196693 ERB196693:ERI196693 FAX196693:FBE196693 FKT196693:FLA196693 FUP196693:FUW196693 GEL196693:GES196693 GOH196693:GOO196693 GYD196693:GYK196693 HHZ196693:HIG196693 HRV196693:HSC196693 IBR196693:IBY196693 ILN196693:ILU196693 IVJ196693:IVQ196693 JFF196693:JFM196693 JPB196693:JPI196693 JYX196693:JZE196693 KIT196693:KJA196693 KSP196693:KSW196693 LCL196693:LCS196693 LMH196693:LMO196693 LWD196693:LWK196693 MFZ196693:MGG196693 MPV196693:MQC196693 MZR196693:MZY196693 NJN196693:NJU196693 NTJ196693:NTQ196693 ODF196693:ODM196693 ONB196693:ONI196693 OWX196693:OXE196693 PGT196693:PHA196693 PQP196693:PQW196693 QAL196693:QAS196693 QKH196693:QKO196693 QUD196693:QUK196693 RDZ196693:REG196693 RNV196693:ROC196693 RXR196693:RXY196693 SHN196693:SHU196693 SRJ196693:SRQ196693 TBF196693:TBM196693 TLB196693:TLI196693 TUX196693:TVE196693 UET196693:UFA196693 UOP196693:UOW196693 UYL196693:UYS196693 VIH196693:VIO196693 VSD196693:VSK196693 WBZ196693:WCG196693 WLV196693:WMC196693 WVR196693:WVY196693 JF262229:JM262229 TB262229:TI262229 ACX262229:ADE262229 AMT262229:ANA262229 AWP262229:AWW262229 BGL262229:BGS262229 BQH262229:BQO262229 CAD262229:CAK262229 CJZ262229:CKG262229 CTV262229:CUC262229 DDR262229:DDY262229 DNN262229:DNU262229 DXJ262229:DXQ262229 EHF262229:EHM262229 ERB262229:ERI262229 FAX262229:FBE262229 FKT262229:FLA262229 FUP262229:FUW262229 GEL262229:GES262229 GOH262229:GOO262229 GYD262229:GYK262229 HHZ262229:HIG262229 HRV262229:HSC262229 IBR262229:IBY262229 ILN262229:ILU262229 IVJ262229:IVQ262229 JFF262229:JFM262229 JPB262229:JPI262229 JYX262229:JZE262229 KIT262229:KJA262229 KSP262229:KSW262229 LCL262229:LCS262229 LMH262229:LMO262229 LWD262229:LWK262229 MFZ262229:MGG262229 MPV262229:MQC262229 MZR262229:MZY262229 NJN262229:NJU262229 NTJ262229:NTQ262229 ODF262229:ODM262229 ONB262229:ONI262229 OWX262229:OXE262229 PGT262229:PHA262229 PQP262229:PQW262229 QAL262229:QAS262229 QKH262229:QKO262229 QUD262229:QUK262229 RDZ262229:REG262229 RNV262229:ROC262229 RXR262229:RXY262229 SHN262229:SHU262229 SRJ262229:SRQ262229 TBF262229:TBM262229 TLB262229:TLI262229 TUX262229:TVE262229 UET262229:UFA262229 UOP262229:UOW262229 UYL262229:UYS262229 VIH262229:VIO262229 VSD262229:VSK262229 WBZ262229:WCG262229 WLV262229:WMC262229 WVR262229:WVY262229 JF327765:JM327765 TB327765:TI327765 ACX327765:ADE327765 AMT327765:ANA327765 AWP327765:AWW327765 BGL327765:BGS327765 BQH327765:BQO327765 CAD327765:CAK327765 CJZ327765:CKG327765 CTV327765:CUC327765 DDR327765:DDY327765 DNN327765:DNU327765 DXJ327765:DXQ327765 EHF327765:EHM327765 ERB327765:ERI327765 FAX327765:FBE327765 FKT327765:FLA327765 FUP327765:FUW327765 GEL327765:GES327765 GOH327765:GOO327765 GYD327765:GYK327765 HHZ327765:HIG327765 HRV327765:HSC327765 IBR327765:IBY327765 ILN327765:ILU327765 IVJ327765:IVQ327765 JFF327765:JFM327765 JPB327765:JPI327765 JYX327765:JZE327765 KIT327765:KJA327765 KSP327765:KSW327765 LCL327765:LCS327765 LMH327765:LMO327765 LWD327765:LWK327765 MFZ327765:MGG327765 MPV327765:MQC327765 MZR327765:MZY327765 NJN327765:NJU327765 NTJ327765:NTQ327765 ODF327765:ODM327765 ONB327765:ONI327765 OWX327765:OXE327765 PGT327765:PHA327765 PQP327765:PQW327765 QAL327765:QAS327765 QKH327765:QKO327765 QUD327765:QUK327765 RDZ327765:REG327765 RNV327765:ROC327765 RXR327765:RXY327765 SHN327765:SHU327765 SRJ327765:SRQ327765 TBF327765:TBM327765 TLB327765:TLI327765 TUX327765:TVE327765 UET327765:UFA327765 UOP327765:UOW327765 UYL327765:UYS327765 VIH327765:VIO327765 VSD327765:VSK327765 WBZ327765:WCG327765 WLV327765:WMC327765 WVR327765:WVY327765 JF393301:JM393301 TB393301:TI393301 ACX393301:ADE393301 AMT393301:ANA393301 AWP393301:AWW393301 BGL393301:BGS393301 BQH393301:BQO393301 CAD393301:CAK393301 CJZ393301:CKG393301 CTV393301:CUC393301 DDR393301:DDY393301 DNN393301:DNU393301 DXJ393301:DXQ393301 EHF393301:EHM393301 ERB393301:ERI393301 FAX393301:FBE393301 FKT393301:FLA393301 FUP393301:FUW393301 GEL393301:GES393301 GOH393301:GOO393301 GYD393301:GYK393301 HHZ393301:HIG393301 HRV393301:HSC393301 IBR393301:IBY393301 ILN393301:ILU393301 IVJ393301:IVQ393301 JFF393301:JFM393301 JPB393301:JPI393301 JYX393301:JZE393301 KIT393301:KJA393301 KSP393301:KSW393301 LCL393301:LCS393301 LMH393301:LMO393301 LWD393301:LWK393301 MFZ393301:MGG393301 MPV393301:MQC393301 MZR393301:MZY393301 NJN393301:NJU393301 NTJ393301:NTQ393301 ODF393301:ODM393301 ONB393301:ONI393301 OWX393301:OXE393301 PGT393301:PHA393301 PQP393301:PQW393301 QAL393301:QAS393301 QKH393301:QKO393301 QUD393301:QUK393301 RDZ393301:REG393301 RNV393301:ROC393301 RXR393301:RXY393301 SHN393301:SHU393301 SRJ393301:SRQ393301 TBF393301:TBM393301 TLB393301:TLI393301 TUX393301:TVE393301 UET393301:UFA393301 UOP393301:UOW393301 UYL393301:UYS393301 VIH393301:VIO393301 VSD393301:VSK393301 WBZ393301:WCG393301 WLV393301:WMC393301 WVR393301:WVY393301 JF458837:JM458837 TB458837:TI458837 ACX458837:ADE458837 AMT458837:ANA458837 AWP458837:AWW458837 BGL458837:BGS458837 BQH458837:BQO458837 CAD458837:CAK458837 CJZ458837:CKG458837 CTV458837:CUC458837 DDR458837:DDY458837 DNN458837:DNU458837 DXJ458837:DXQ458837 EHF458837:EHM458837 ERB458837:ERI458837 FAX458837:FBE458837 FKT458837:FLA458837 FUP458837:FUW458837 GEL458837:GES458837 GOH458837:GOO458837 GYD458837:GYK458837 HHZ458837:HIG458837 HRV458837:HSC458837 IBR458837:IBY458837 ILN458837:ILU458837 IVJ458837:IVQ458837 JFF458837:JFM458837 JPB458837:JPI458837 JYX458837:JZE458837 KIT458837:KJA458837 KSP458837:KSW458837 LCL458837:LCS458837 LMH458837:LMO458837 LWD458837:LWK458837 MFZ458837:MGG458837 MPV458837:MQC458837 MZR458837:MZY458837 NJN458837:NJU458837 NTJ458837:NTQ458837 ODF458837:ODM458837 ONB458837:ONI458837 OWX458837:OXE458837 PGT458837:PHA458837 PQP458837:PQW458837 QAL458837:QAS458837 QKH458837:QKO458837 QUD458837:QUK458837 RDZ458837:REG458837 RNV458837:ROC458837 RXR458837:RXY458837 SHN458837:SHU458837 SRJ458837:SRQ458837 TBF458837:TBM458837 TLB458837:TLI458837 TUX458837:TVE458837 UET458837:UFA458837 UOP458837:UOW458837 UYL458837:UYS458837 VIH458837:VIO458837 VSD458837:VSK458837 WBZ458837:WCG458837 WLV458837:WMC458837 WVR458837:WVY458837 JF524373:JM524373 TB524373:TI524373 ACX524373:ADE524373 AMT524373:ANA524373 AWP524373:AWW524373 BGL524373:BGS524373 BQH524373:BQO524373 CAD524373:CAK524373 CJZ524373:CKG524373 CTV524373:CUC524373 DDR524373:DDY524373 DNN524373:DNU524373 DXJ524373:DXQ524373 EHF524373:EHM524373 ERB524373:ERI524373 FAX524373:FBE524373 FKT524373:FLA524373 FUP524373:FUW524373 GEL524373:GES524373 GOH524373:GOO524373 GYD524373:GYK524373 HHZ524373:HIG524373 HRV524373:HSC524373 IBR524373:IBY524373 ILN524373:ILU524373 IVJ524373:IVQ524373 JFF524373:JFM524373 JPB524373:JPI524373 JYX524373:JZE524373 KIT524373:KJA524373 KSP524373:KSW524373 LCL524373:LCS524373 LMH524373:LMO524373 LWD524373:LWK524373 MFZ524373:MGG524373 MPV524373:MQC524373 MZR524373:MZY524373 NJN524373:NJU524373 NTJ524373:NTQ524373 ODF524373:ODM524373 ONB524373:ONI524373 OWX524373:OXE524373 PGT524373:PHA524373 PQP524373:PQW524373 QAL524373:QAS524373 QKH524373:QKO524373 QUD524373:QUK524373 RDZ524373:REG524373 RNV524373:ROC524373 RXR524373:RXY524373 SHN524373:SHU524373 SRJ524373:SRQ524373 TBF524373:TBM524373 TLB524373:TLI524373 TUX524373:TVE524373 UET524373:UFA524373 UOP524373:UOW524373 UYL524373:UYS524373 VIH524373:VIO524373 VSD524373:VSK524373 WBZ524373:WCG524373 WLV524373:WMC524373 WVR524373:WVY524373 JF589909:JM589909 TB589909:TI589909 ACX589909:ADE589909 AMT589909:ANA589909 AWP589909:AWW589909 BGL589909:BGS589909 BQH589909:BQO589909 CAD589909:CAK589909 CJZ589909:CKG589909 CTV589909:CUC589909 DDR589909:DDY589909 DNN589909:DNU589909 DXJ589909:DXQ589909 EHF589909:EHM589909 ERB589909:ERI589909 FAX589909:FBE589909 FKT589909:FLA589909 FUP589909:FUW589909 GEL589909:GES589909 GOH589909:GOO589909 GYD589909:GYK589909 HHZ589909:HIG589909 HRV589909:HSC589909 IBR589909:IBY589909 ILN589909:ILU589909 IVJ589909:IVQ589909 JFF589909:JFM589909 JPB589909:JPI589909 JYX589909:JZE589909 KIT589909:KJA589909 KSP589909:KSW589909 LCL589909:LCS589909 LMH589909:LMO589909 LWD589909:LWK589909 MFZ589909:MGG589909 MPV589909:MQC589909 MZR589909:MZY589909 NJN589909:NJU589909 NTJ589909:NTQ589909 ODF589909:ODM589909 ONB589909:ONI589909 OWX589909:OXE589909 PGT589909:PHA589909 PQP589909:PQW589909 QAL589909:QAS589909 QKH589909:QKO589909 QUD589909:QUK589909 RDZ589909:REG589909 RNV589909:ROC589909 RXR589909:RXY589909 SHN589909:SHU589909 SRJ589909:SRQ589909 TBF589909:TBM589909 TLB589909:TLI589909 TUX589909:TVE589909 UET589909:UFA589909 UOP589909:UOW589909 UYL589909:UYS589909 VIH589909:VIO589909 VSD589909:VSK589909 WBZ589909:WCG589909 WLV589909:WMC589909 WVR589909:WVY589909 JF655445:JM655445 TB655445:TI655445 ACX655445:ADE655445 AMT655445:ANA655445 AWP655445:AWW655445 BGL655445:BGS655445 BQH655445:BQO655445 CAD655445:CAK655445 CJZ655445:CKG655445 CTV655445:CUC655445 DDR655445:DDY655445 DNN655445:DNU655445 DXJ655445:DXQ655445 EHF655445:EHM655445 ERB655445:ERI655445 FAX655445:FBE655445 FKT655445:FLA655445 FUP655445:FUW655445 GEL655445:GES655445 GOH655445:GOO655445 GYD655445:GYK655445 HHZ655445:HIG655445 HRV655445:HSC655445 IBR655445:IBY655445 ILN655445:ILU655445 IVJ655445:IVQ655445 JFF655445:JFM655445 JPB655445:JPI655445 JYX655445:JZE655445 KIT655445:KJA655445 KSP655445:KSW655445 LCL655445:LCS655445 LMH655445:LMO655445 LWD655445:LWK655445 MFZ655445:MGG655445 MPV655445:MQC655445 MZR655445:MZY655445 NJN655445:NJU655445 NTJ655445:NTQ655445 ODF655445:ODM655445 ONB655445:ONI655445 OWX655445:OXE655445 PGT655445:PHA655445 PQP655445:PQW655445 QAL655445:QAS655445 QKH655445:QKO655445 QUD655445:QUK655445 RDZ655445:REG655445 RNV655445:ROC655445 RXR655445:RXY655445 SHN655445:SHU655445 SRJ655445:SRQ655445 TBF655445:TBM655445 TLB655445:TLI655445 TUX655445:TVE655445 UET655445:UFA655445 UOP655445:UOW655445 UYL655445:UYS655445 VIH655445:VIO655445 VSD655445:VSK655445 WBZ655445:WCG655445 WLV655445:WMC655445 WVR655445:WVY655445 JF720981:JM720981 TB720981:TI720981 ACX720981:ADE720981 AMT720981:ANA720981 AWP720981:AWW720981 BGL720981:BGS720981 BQH720981:BQO720981 CAD720981:CAK720981 CJZ720981:CKG720981 CTV720981:CUC720981 DDR720981:DDY720981 DNN720981:DNU720981 DXJ720981:DXQ720981 EHF720981:EHM720981 ERB720981:ERI720981 FAX720981:FBE720981 FKT720981:FLA720981 FUP720981:FUW720981 GEL720981:GES720981 GOH720981:GOO720981 GYD720981:GYK720981 HHZ720981:HIG720981 HRV720981:HSC720981 IBR720981:IBY720981 ILN720981:ILU720981 IVJ720981:IVQ720981 JFF720981:JFM720981 JPB720981:JPI720981 JYX720981:JZE720981 KIT720981:KJA720981 KSP720981:KSW720981 LCL720981:LCS720981 LMH720981:LMO720981 LWD720981:LWK720981 MFZ720981:MGG720981 MPV720981:MQC720981 MZR720981:MZY720981 NJN720981:NJU720981 NTJ720981:NTQ720981 ODF720981:ODM720981 ONB720981:ONI720981 OWX720981:OXE720981 PGT720981:PHA720981 PQP720981:PQW720981 QAL720981:QAS720981 QKH720981:QKO720981 QUD720981:QUK720981 RDZ720981:REG720981 RNV720981:ROC720981 RXR720981:RXY720981 SHN720981:SHU720981 SRJ720981:SRQ720981 TBF720981:TBM720981 TLB720981:TLI720981 TUX720981:TVE720981 UET720981:UFA720981 UOP720981:UOW720981 UYL720981:UYS720981 VIH720981:VIO720981 VSD720981:VSK720981 WBZ720981:WCG720981 WLV720981:WMC720981 WVR720981:WVY720981 JF786517:JM786517 TB786517:TI786517 ACX786517:ADE786517 AMT786517:ANA786517 AWP786517:AWW786517 BGL786517:BGS786517 BQH786517:BQO786517 CAD786517:CAK786517 CJZ786517:CKG786517 CTV786517:CUC786517 DDR786517:DDY786517 DNN786517:DNU786517 DXJ786517:DXQ786517 EHF786517:EHM786517 ERB786517:ERI786517 FAX786517:FBE786517 FKT786517:FLA786517 FUP786517:FUW786517 GEL786517:GES786517 GOH786517:GOO786517 GYD786517:GYK786517 HHZ786517:HIG786517 HRV786517:HSC786517 IBR786517:IBY786517 ILN786517:ILU786517 IVJ786517:IVQ786517 JFF786517:JFM786517 JPB786517:JPI786517 JYX786517:JZE786517 KIT786517:KJA786517 KSP786517:KSW786517 LCL786517:LCS786517 LMH786517:LMO786517 LWD786517:LWK786517 MFZ786517:MGG786517 MPV786517:MQC786517 MZR786517:MZY786517 NJN786517:NJU786517 NTJ786517:NTQ786517 ODF786517:ODM786517 ONB786517:ONI786517 OWX786517:OXE786517 PGT786517:PHA786517 PQP786517:PQW786517 QAL786517:QAS786517 QKH786517:QKO786517 QUD786517:QUK786517 RDZ786517:REG786517 RNV786517:ROC786517 RXR786517:RXY786517 SHN786517:SHU786517 SRJ786517:SRQ786517 TBF786517:TBM786517 TLB786517:TLI786517 TUX786517:TVE786517 UET786517:UFA786517 UOP786517:UOW786517 UYL786517:UYS786517 VIH786517:VIO786517 VSD786517:VSK786517 WBZ786517:WCG786517 WLV786517:WMC786517 WVR786517:WVY786517 JF852053:JM852053 TB852053:TI852053 ACX852053:ADE852053 AMT852053:ANA852053 AWP852053:AWW852053 BGL852053:BGS852053 BQH852053:BQO852053 CAD852053:CAK852053 CJZ852053:CKG852053 CTV852053:CUC852053 DDR852053:DDY852053 DNN852053:DNU852053 DXJ852053:DXQ852053 EHF852053:EHM852053 ERB852053:ERI852053 FAX852053:FBE852053 FKT852053:FLA852053 FUP852053:FUW852053 GEL852053:GES852053 GOH852053:GOO852053 GYD852053:GYK852053 HHZ852053:HIG852053 HRV852053:HSC852053 IBR852053:IBY852053 ILN852053:ILU852053 IVJ852053:IVQ852053 JFF852053:JFM852053 JPB852053:JPI852053 JYX852053:JZE852053 KIT852053:KJA852053 KSP852053:KSW852053 LCL852053:LCS852053 LMH852053:LMO852053 LWD852053:LWK852053 MFZ852053:MGG852053 MPV852053:MQC852053 MZR852053:MZY852053 NJN852053:NJU852053 NTJ852053:NTQ852053 ODF852053:ODM852053 ONB852053:ONI852053 OWX852053:OXE852053 PGT852053:PHA852053 PQP852053:PQW852053 QAL852053:QAS852053 QKH852053:QKO852053 QUD852053:QUK852053 RDZ852053:REG852053 RNV852053:ROC852053 RXR852053:RXY852053 SHN852053:SHU852053 SRJ852053:SRQ852053 TBF852053:TBM852053 TLB852053:TLI852053 TUX852053:TVE852053 UET852053:UFA852053 UOP852053:UOW852053 UYL852053:UYS852053 VIH852053:VIO852053 VSD852053:VSK852053 WBZ852053:WCG852053 WLV852053:WMC852053 WVR852053:WVY852053 JF917589:JM917589 TB917589:TI917589 ACX917589:ADE917589 AMT917589:ANA917589 AWP917589:AWW917589 BGL917589:BGS917589 BQH917589:BQO917589 CAD917589:CAK917589 CJZ917589:CKG917589 CTV917589:CUC917589 DDR917589:DDY917589 DNN917589:DNU917589 DXJ917589:DXQ917589 EHF917589:EHM917589 ERB917589:ERI917589 FAX917589:FBE917589 FKT917589:FLA917589 FUP917589:FUW917589 GEL917589:GES917589 GOH917589:GOO917589 GYD917589:GYK917589 HHZ917589:HIG917589 HRV917589:HSC917589 IBR917589:IBY917589 ILN917589:ILU917589 IVJ917589:IVQ917589 JFF917589:JFM917589 JPB917589:JPI917589 JYX917589:JZE917589 KIT917589:KJA917589 KSP917589:KSW917589 LCL917589:LCS917589 LMH917589:LMO917589 LWD917589:LWK917589 MFZ917589:MGG917589 MPV917589:MQC917589 MZR917589:MZY917589 NJN917589:NJU917589 NTJ917589:NTQ917589 ODF917589:ODM917589 ONB917589:ONI917589 OWX917589:OXE917589 PGT917589:PHA917589 PQP917589:PQW917589 QAL917589:QAS917589 QKH917589:QKO917589 QUD917589:QUK917589 RDZ917589:REG917589 RNV917589:ROC917589 RXR917589:RXY917589 SHN917589:SHU917589 SRJ917589:SRQ917589 TBF917589:TBM917589 TLB917589:TLI917589 TUX917589:TVE917589 UET917589:UFA917589 UOP917589:UOW917589 UYL917589:UYS917589 VIH917589:VIO917589 VSD917589:VSK917589 WBZ917589:WCG917589 WLV917589:WMC917589 WVR917589:WVY917589 JF983125:JM983125 TB983125:TI983125 ACX983125:ADE983125 AMT983125:ANA983125 AWP983125:AWW983125 BGL983125:BGS983125 BQH983125:BQO983125 CAD983125:CAK983125 CJZ983125:CKG983125 CTV983125:CUC983125 DDR983125:DDY983125 DNN983125:DNU983125 DXJ983125:DXQ983125 EHF983125:EHM983125 ERB983125:ERI983125 FAX983125:FBE983125 FKT983125:FLA983125 FUP983125:FUW983125 GEL983125:GES983125 GOH983125:GOO983125 GYD983125:GYK983125 HHZ983125:HIG983125 HRV983125:HSC983125 IBR983125:IBY983125 ILN983125:ILU983125 IVJ983125:IVQ983125 JFF983125:JFM983125 JPB983125:JPI983125 JYX983125:JZE983125 KIT983125:KJA983125 KSP983125:KSW983125 LCL983125:LCS983125 LMH983125:LMO983125 LWD983125:LWK983125 MFZ983125:MGG983125 MPV983125:MQC983125 MZR983125:MZY983125 NJN983125:NJU983125 NTJ983125:NTQ983125 ODF983125:ODM983125 ONB983125:ONI983125 OWX983125:OXE983125 PGT983125:PHA983125 PQP983125:PQW983125 QAL983125:QAS983125 QKH983125:QKO983125 QUD983125:QUK983125 RDZ983125:REG983125 RNV983125:ROC983125 RXR983125:RXY983125 SHN983125:SHU983125 SRJ983125:SRQ983125 TBF983125:TBM983125 TLB983125:TLI983125 TUX983125:TVE983125 UET983125:UFA983125 UOP983125:UOW983125 UYL983125:UYS983125 VIH983125:VIO983125 VSD983125:VSK983125 WBZ983125:WCG983125 WLV983125:WMC983125 WVR983125:WVY983125 JF9:JM9 TB9:TI9 ACX9:ADE9 AMT9:ANA9 AWP9:AWW9 BGL9:BGS9 BQH9:BQO9 CAD9:CAK9 CJZ9:CKG9 CTV9:CUC9 DDR9:DDY9 DNN9:DNU9 DXJ9:DXQ9 EHF9:EHM9 ERB9:ERI9 FAX9:FBE9 FKT9:FLA9 FUP9:FUW9 GEL9:GES9 GOH9:GOO9 GYD9:GYK9 HHZ9:HIG9 HRV9:HSC9 IBR9:IBY9 ILN9:ILU9 IVJ9:IVQ9 JFF9:JFM9 JPB9:JPI9 JYX9:JZE9 KIT9:KJA9 KSP9:KSW9 LCL9:LCS9 LMH9:LMO9 LWD9:LWK9 MFZ9:MGG9 MPV9:MQC9 MZR9:MZY9 NJN9:NJU9 NTJ9:NTQ9 ODF9:ODM9 ONB9:ONI9 OWX9:OXE9 PGT9:PHA9 PQP9:PQW9 QAL9:QAS9 QKH9:QKO9 QUD9:QUK9 RDZ9:REG9 RNV9:ROC9 RXR9:RXY9 SHN9:SHU9 SRJ9:SRQ9 TBF9:TBM9 TLB9:TLI9 TUX9:TVE9 UET9:UFA9 UOP9:UOW9 UYL9:UYS9 VIH9:VIO9 VSD9:VSK9 WBZ9:WCG9 WLV9:WMC9 WVR9:WVY9 JF65545:JM65545 TB65545:TI65545 ACX65545:ADE65545 AMT65545:ANA65545 AWP65545:AWW65545 BGL65545:BGS65545 BQH65545:BQO65545 CAD65545:CAK65545 CJZ65545:CKG65545 CTV65545:CUC65545 DDR65545:DDY65545 DNN65545:DNU65545 DXJ65545:DXQ65545 EHF65545:EHM65545 ERB65545:ERI65545 FAX65545:FBE65545 FKT65545:FLA65545 FUP65545:FUW65545 GEL65545:GES65545 GOH65545:GOO65545 GYD65545:GYK65545 HHZ65545:HIG65545 HRV65545:HSC65545 IBR65545:IBY65545 ILN65545:ILU65545 IVJ65545:IVQ65545 JFF65545:JFM65545 JPB65545:JPI65545 JYX65545:JZE65545 KIT65545:KJA65545 KSP65545:KSW65545 LCL65545:LCS65545 LMH65545:LMO65545 LWD65545:LWK65545 MFZ65545:MGG65545 MPV65545:MQC65545 MZR65545:MZY65545 NJN65545:NJU65545 NTJ65545:NTQ65545 ODF65545:ODM65545 ONB65545:ONI65545 OWX65545:OXE65545 PGT65545:PHA65545 PQP65545:PQW65545 QAL65545:QAS65545 QKH65545:QKO65545 QUD65545:QUK65545 RDZ65545:REG65545 RNV65545:ROC65545 RXR65545:RXY65545 SHN65545:SHU65545 SRJ65545:SRQ65545 TBF65545:TBM65545 TLB65545:TLI65545 TUX65545:TVE65545 UET65545:UFA65545 UOP65545:UOW65545 UYL65545:UYS65545 VIH65545:VIO65545 VSD65545:VSK65545 WBZ65545:WCG65545 WLV65545:WMC65545 WVR65545:WVY65545 JF131081:JM131081 TB131081:TI131081 ACX131081:ADE131081 AMT131081:ANA131081 AWP131081:AWW131081 BGL131081:BGS131081 BQH131081:BQO131081 CAD131081:CAK131081 CJZ131081:CKG131081 CTV131081:CUC131081 DDR131081:DDY131081 DNN131081:DNU131081 DXJ131081:DXQ131081 EHF131081:EHM131081 ERB131081:ERI131081 FAX131081:FBE131081 FKT131081:FLA131081 FUP131081:FUW131081 GEL131081:GES131081 GOH131081:GOO131081 GYD131081:GYK131081 HHZ131081:HIG131081 HRV131081:HSC131081 IBR131081:IBY131081 ILN131081:ILU131081 IVJ131081:IVQ131081 JFF131081:JFM131081 JPB131081:JPI131081 JYX131081:JZE131081 KIT131081:KJA131081 KSP131081:KSW131081 LCL131081:LCS131081 LMH131081:LMO131081 LWD131081:LWK131081 MFZ131081:MGG131081 MPV131081:MQC131081 MZR131081:MZY131081 NJN131081:NJU131081 NTJ131081:NTQ131081 ODF131081:ODM131081 ONB131081:ONI131081 OWX131081:OXE131081 PGT131081:PHA131081 PQP131081:PQW131081 QAL131081:QAS131081 QKH131081:QKO131081 QUD131081:QUK131081 RDZ131081:REG131081 RNV131081:ROC131081 RXR131081:RXY131081 SHN131081:SHU131081 SRJ131081:SRQ131081 TBF131081:TBM131081 TLB131081:TLI131081 TUX131081:TVE131081 UET131081:UFA131081 UOP131081:UOW131081 UYL131081:UYS131081 VIH131081:VIO131081 VSD131081:VSK131081 WBZ131081:WCG131081 WLV131081:WMC131081 WVR131081:WVY131081 JF196617:JM196617 TB196617:TI196617 ACX196617:ADE196617 AMT196617:ANA196617 AWP196617:AWW196617 BGL196617:BGS196617 BQH196617:BQO196617 CAD196617:CAK196617 CJZ196617:CKG196617 CTV196617:CUC196617 DDR196617:DDY196617 DNN196617:DNU196617 DXJ196617:DXQ196617 EHF196617:EHM196617 ERB196617:ERI196617 FAX196617:FBE196617 FKT196617:FLA196617 FUP196617:FUW196617 GEL196617:GES196617 GOH196617:GOO196617 GYD196617:GYK196617 HHZ196617:HIG196617 HRV196617:HSC196617 IBR196617:IBY196617 ILN196617:ILU196617 IVJ196617:IVQ196617 JFF196617:JFM196617 JPB196617:JPI196617 JYX196617:JZE196617 KIT196617:KJA196617 KSP196617:KSW196617 LCL196617:LCS196617 LMH196617:LMO196617 LWD196617:LWK196617 MFZ196617:MGG196617 MPV196617:MQC196617 MZR196617:MZY196617 NJN196617:NJU196617 NTJ196617:NTQ196617 ODF196617:ODM196617 ONB196617:ONI196617 OWX196617:OXE196617 PGT196617:PHA196617 PQP196617:PQW196617 QAL196617:QAS196617 QKH196617:QKO196617 QUD196617:QUK196617 RDZ196617:REG196617 RNV196617:ROC196617 RXR196617:RXY196617 SHN196617:SHU196617 SRJ196617:SRQ196617 TBF196617:TBM196617 TLB196617:TLI196617 TUX196617:TVE196617 UET196617:UFA196617 UOP196617:UOW196617 UYL196617:UYS196617 VIH196617:VIO196617 VSD196617:VSK196617 WBZ196617:WCG196617 WLV196617:WMC196617 WVR196617:WVY196617 JF262153:JM262153 TB262153:TI262153 ACX262153:ADE262153 AMT262153:ANA262153 AWP262153:AWW262153 BGL262153:BGS262153 BQH262153:BQO262153 CAD262153:CAK262153 CJZ262153:CKG262153 CTV262153:CUC262153 DDR262153:DDY262153 DNN262153:DNU262153 DXJ262153:DXQ262153 EHF262153:EHM262153 ERB262153:ERI262153 FAX262153:FBE262153 FKT262153:FLA262153 FUP262153:FUW262153 GEL262153:GES262153 GOH262153:GOO262153 GYD262153:GYK262153 HHZ262153:HIG262153 HRV262153:HSC262153 IBR262153:IBY262153 ILN262153:ILU262153 IVJ262153:IVQ262153 JFF262153:JFM262153 JPB262153:JPI262153 JYX262153:JZE262153 KIT262153:KJA262153 KSP262153:KSW262153 LCL262153:LCS262153 LMH262153:LMO262153 LWD262153:LWK262153 MFZ262153:MGG262153 MPV262153:MQC262153 MZR262153:MZY262153 NJN262153:NJU262153 NTJ262153:NTQ262153 ODF262153:ODM262153 ONB262153:ONI262153 OWX262153:OXE262153 PGT262153:PHA262153 PQP262153:PQW262153 QAL262153:QAS262153 QKH262153:QKO262153 QUD262153:QUK262153 RDZ262153:REG262153 RNV262153:ROC262153 RXR262153:RXY262153 SHN262153:SHU262153 SRJ262153:SRQ262153 TBF262153:TBM262153 TLB262153:TLI262153 TUX262153:TVE262153 UET262153:UFA262153 UOP262153:UOW262153 UYL262153:UYS262153 VIH262153:VIO262153 VSD262153:VSK262153 WBZ262153:WCG262153 WLV262153:WMC262153 WVR262153:WVY262153 JF327689:JM327689 TB327689:TI327689 ACX327689:ADE327689 AMT327689:ANA327689 AWP327689:AWW327689 BGL327689:BGS327689 BQH327689:BQO327689 CAD327689:CAK327689 CJZ327689:CKG327689 CTV327689:CUC327689 DDR327689:DDY327689 DNN327689:DNU327689 DXJ327689:DXQ327689 EHF327689:EHM327689 ERB327689:ERI327689 FAX327689:FBE327689 FKT327689:FLA327689 FUP327689:FUW327689 GEL327689:GES327689 GOH327689:GOO327689 GYD327689:GYK327689 HHZ327689:HIG327689 HRV327689:HSC327689 IBR327689:IBY327689 ILN327689:ILU327689 IVJ327689:IVQ327689 JFF327689:JFM327689 JPB327689:JPI327689 JYX327689:JZE327689 KIT327689:KJA327689 KSP327689:KSW327689 LCL327689:LCS327689 LMH327689:LMO327689 LWD327689:LWK327689 MFZ327689:MGG327689 MPV327689:MQC327689 MZR327689:MZY327689 NJN327689:NJU327689 NTJ327689:NTQ327689 ODF327689:ODM327689 ONB327689:ONI327689 OWX327689:OXE327689 PGT327689:PHA327689 PQP327689:PQW327689 QAL327689:QAS327689 QKH327689:QKO327689 QUD327689:QUK327689 RDZ327689:REG327689 RNV327689:ROC327689 RXR327689:RXY327689 SHN327689:SHU327689 SRJ327689:SRQ327689 TBF327689:TBM327689 TLB327689:TLI327689 TUX327689:TVE327689 UET327689:UFA327689 UOP327689:UOW327689 UYL327689:UYS327689 VIH327689:VIO327689 VSD327689:VSK327689 WBZ327689:WCG327689 WLV327689:WMC327689 WVR327689:WVY327689 JF393225:JM393225 TB393225:TI393225 ACX393225:ADE393225 AMT393225:ANA393225 AWP393225:AWW393225 BGL393225:BGS393225 BQH393225:BQO393225 CAD393225:CAK393225 CJZ393225:CKG393225 CTV393225:CUC393225 DDR393225:DDY393225 DNN393225:DNU393225 DXJ393225:DXQ393225 EHF393225:EHM393225 ERB393225:ERI393225 FAX393225:FBE393225 FKT393225:FLA393225 FUP393225:FUW393225 GEL393225:GES393225 GOH393225:GOO393225 GYD393225:GYK393225 HHZ393225:HIG393225 HRV393225:HSC393225 IBR393225:IBY393225 ILN393225:ILU393225 IVJ393225:IVQ393225 JFF393225:JFM393225 JPB393225:JPI393225 JYX393225:JZE393225 KIT393225:KJA393225 KSP393225:KSW393225 LCL393225:LCS393225 LMH393225:LMO393225 LWD393225:LWK393225 MFZ393225:MGG393225 MPV393225:MQC393225 MZR393225:MZY393225 NJN393225:NJU393225 NTJ393225:NTQ393225 ODF393225:ODM393225 ONB393225:ONI393225 OWX393225:OXE393225 PGT393225:PHA393225 PQP393225:PQW393225 QAL393225:QAS393225 QKH393225:QKO393225 QUD393225:QUK393225 RDZ393225:REG393225 RNV393225:ROC393225 RXR393225:RXY393225 SHN393225:SHU393225 SRJ393225:SRQ393225 TBF393225:TBM393225 TLB393225:TLI393225 TUX393225:TVE393225 UET393225:UFA393225 UOP393225:UOW393225 UYL393225:UYS393225 VIH393225:VIO393225 VSD393225:VSK393225 WBZ393225:WCG393225 WLV393225:WMC393225 WVR393225:WVY393225 JF458761:JM458761 TB458761:TI458761 ACX458761:ADE458761 AMT458761:ANA458761 AWP458761:AWW458761 BGL458761:BGS458761 BQH458761:BQO458761 CAD458761:CAK458761 CJZ458761:CKG458761 CTV458761:CUC458761 DDR458761:DDY458761 DNN458761:DNU458761 DXJ458761:DXQ458761 EHF458761:EHM458761 ERB458761:ERI458761 FAX458761:FBE458761 FKT458761:FLA458761 FUP458761:FUW458761 GEL458761:GES458761 GOH458761:GOO458761 GYD458761:GYK458761 HHZ458761:HIG458761 HRV458761:HSC458761 IBR458761:IBY458761 ILN458761:ILU458761 IVJ458761:IVQ458761 JFF458761:JFM458761 JPB458761:JPI458761 JYX458761:JZE458761 KIT458761:KJA458761 KSP458761:KSW458761 LCL458761:LCS458761 LMH458761:LMO458761 LWD458761:LWK458761 MFZ458761:MGG458761 MPV458761:MQC458761 MZR458761:MZY458761 NJN458761:NJU458761 NTJ458761:NTQ458761 ODF458761:ODM458761 ONB458761:ONI458761 OWX458761:OXE458761 PGT458761:PHA458761 PQP458761:PQW458761 QAL458761:QAS458761 QKH458761:QKO458761 QUD458761:QUK458761 RDZ458761:REG458761 RNV458761:ROC458761 RXR458761:RXY458761 SHN458761:SHU458761 SRJ458761:SRQ458761 TBF458761:TBM458761 TLB458761:TLI458761 TUX458761:TVE458761 UET458761:UFA458761 UOP458761:UOW458761 UYL458761:UYS458761 VIH458761:VIO458761 VSD458761:VSK458761 WBZ458761:WCG458761 WLV458761:WMC458761 WVR458761:WVY458761 JF524297:JM524297 TB524297:TI524297 ACX524297:ADE524297 AMT524297:ANA524297 AWP524297:AWW524297 BGL524297:BGS524297 BQH524297:BQO524297 CAD524297:CAK524297 CJZ524297:CKG524297 CTV524297:CUC524297 DDR524297:DDY524297 DNN524297:DNU524297 DXJ524297:DXQ524297 EHF524297:EHM524297 ERB524297:ERI524297 FAX524297:FBE524297 FKT524297:FLA524297 FUP524297:FUW524297 GEL524297:GES524297 GOH524297:GOO524297 GYD524297:GYK524297 HHZ524297:HIG524297 HRV524297:HSC524297 IBR524297:IBY524297 ILN524297:ILU524297 IVJ524297:IVQ524297 JFF524297:JFM524297 JPB524297:JPI524297 JYX524297:JZE524297 KIT524297:KJA524297 KSP524297:KSW524297 LCL524297:LCS524297 LMH524297:LMO524297 LWD524297:LWK524297 MFZ524297:MGG524297 MPV524297:MQC524297 MZR524297:MZY524297 NJN524297:NJU524297 NTJ524297:NTQ524297 ODF524297:ODM524297 ONB524297:ONI524297 OWX524297:OXE524297 PGT524297:PHA524297 PQP524297:PQW524297 QAL524297:QAS524297 QKH524297:QKO524297 QUD524297:QUK524297 RDZ524297:REG524297 RNV524297:ROC524297 RXR524297:RXY524297 SHN524297:SHU524297 SRJ524297:SRQ524297 TBF524297:TBM524297 TLB524297:TLI524297 TUX524297:TVE524297 UET524297:UFA524297 UOP524297:UOW524297 UYL524297:UYS524297 VIH524297:VIO524297 VSD524297:VSK524297 WBZ524297:WCG524297 WLV524297:WMC524297 WVR524297:WVY524297 JF589833:JM589833 TB589833:TI589833 ACX589833:ADE589833 AMT589833:ANA589833 AWP589833:AWW589833 BGL589833:BGS589833 BQH589833:BQO589833 CAD589833:CAK589833 CJZ589833:CKG589833 CTV589833:CUC589833 DDR589833:DDY589833 DNN589833:DNU589833 DXJ589833:DXQ589833 EHF589833:EHM589833 ERB589833:ERI589833 FAX589833:FBE589833 FKT589833:FLA589833 FUP589833:FUW589833 GEL589833:GES589833 GOH589833:GOO589833 GYD589833:GYK589833 HHZ589833:HIG589833 HRV589833:HSC589833 IBR589833:IBY589833 ILN589833:ILU589833 IVJ589833:IVQ589833 JFF589833:JFM589833 JPB589833:JPI589833 JYX589833:JZE589833 KIT589833:KJA589833 KSP589833:KSW589833 LCL589833:LCS589833 LMH589833:LMO589833 LWD589833:LWK589833 MFZ589833:MGG589833 MPV589833:MQC589833 MZR589833:MZY589833 NJN589833:NJU589833 NTJ589833:NTQ589833 ODF589833:ODM589833 ONB589833:ONI589833 OWX589833:OXE589833 PGT589833:PHA589833 PQP589833:PQW589833 QAL589833:QAS589833 QKH589833:QKO589833 QUD589833:QUK589833 RDZ589833:REG589833 RNV589833:ROC589833 RXR589833:RXY589833 SHN589833:SHU589833 SRJ589833:SRQ589833 TBF589833:TBM589833 TLB589833:TLI589833 TUX589833:TVE589833 UET589833:UFA589833 UOP589833:UOW589833 UYL589833:UYS589833 VIH589833:VIO589833 VSD589833:VSK589833 WBZ589833:WCG589833 WLV589833:WMC589833 WVR589833:WVY589833 JF655369:JM655369 TB655369:TI655369 ACX655369:ADE655369 AMT655369:ANA655369 AWP655369:AWW655369 BGL655369:BGS655369 BQH655369:BQO655369 CAD655369:CAK655369 CJZ655369:CKG655369 CTV655369:CUC655369 DDR655369:DDY655369 DNN655369:DNU655369 DXJ655369:DXQ655369 EHF655369:EHM655369 ERB655369:ERI655369 FAX655369:FBE655369 FKT655369:FLA655369 FUP655369:FUW655369 GEL655369:GES655369 GOH655369:GOO655369 GYD655369:GYK655369 HHZ655369:HIG655369 HRV655369:HSC655369 IBR655369:IBY655369 ILN655369:ILU655369 IVJ655369:IVQ655369 JFF655369:JFM655369 JPB655369:JPI655369 JYX655369:JZE655369 KIT655369:KJA655369 KSP655369:KSW655369 LCL655369:LCS655369 LMH655369:LMO655369 LWD655369:LWK655369 MFZ655369:MGG655369 MPV655369:MQC655369 MZR655369:MZY655369 NJN655369:NJU655369 NTJ655369:NTQ655369 ODF655369:ODM655369 ONB655369:ONI655369 OWX655369:OXE655369 PGT655369:PHA655369 PQP655369:PQW655369 QAL655369:QAS655369 QKH655369:QKO655369 QUD655369:QUK655369 RDZ655369:REG655369 RNV655369:ROC655369 RXR655369:RXY655369 SHN655369:SHU655369 SRJ655369:SRQ655369 TBF655369:TBM655369 TLB655369:TLI655369 TUX655369:TVE655369 UET655369:UFA655369 UOP655369:UOW655369 UYL655369:UYS655369 VIH655369:VIO655369 VSD655369:VSK655369 WBZ655369:WCG655369 WLV655369:WMC655369 WVR655369:WVY655369 JF720905:JM720905 TB720905:TI720905 ACX720905:ADE720905 AMT720905:ANA720905 AWP720905:AWW720905 BGL720905:BGS720905 BQH720905:BQO720905 CAD720905:CAK720905 CJZ720905:CKG720905 CTV720905:CUC720905 DDR720905:DDY720905 DNN720905:DNU720905 DXJ720905:DXQ720905 EHF720905:EHM720905 ERB720905:ERI720905 FAX720905:FBE720905 FKT720905:FLA720905 FUP720905:FUW720905 GEL720905:GES720905 GOH720905:GOO720905 GYD720905:GYK720905 HHZ720905:HIG720905 HRV720905:HSC720905 IBR720905:IBY720905 ILN720905:ILU720905 IVJ720905:IVQ720905 JFF720905:JFM720905 JPB720905:JPI720905 JYX720905:JZE720905 KIT720905:KJA720905 KSP720905:KSW720905 LCL720905:LCS720905 LMH720905:LMO720905 LWD720905:LWK720905 MFZ720905:MGG720905 MPV720905:MQC720905 MZR720905:MZY720905 NJN720905:NJU720905 NTJ720905:NTQ720905 ODF720905:ODM720905 ONB720905:ONI720905 OWX720905:OXE720905 PGT720905:PHA720905 PQP720905:PQW720905 QAL720905:QAS720905 QKH720905:QKO720905 QUD720905:QUK720905 RDZ720905:REG720905 RNV720905:ROC720905 RXR720905:RXY720905 SHN720905:SHU720905 SRJ720905:SRQ720905 TBF720905:TBM720905 TLB720905:TLI720905 TUX720905:TVE720905 UET720905:UFA720905 UOP720905:UOW720905 UYL720905:UYS720905 VIH720905:VIO720905 VSD720905:VSK720905 WBZ720905:WCG720905 WLV720905:WMC720905 WVR720905:WVY720905 JF786441:JM786441 TB786441:TI786441 ACX786441:ADE786441 AMT786441:ANA786441 AWP786441:AWW786441 BGL786441:BGS786441 BQH786441:BQO786441 CAD786441:CAK786441 CJZ786441:CKG786441 CTV786441:CUC786441 DDR786441:DDY786441 DNN786441:DNU786441 DXJ786441:DXQ786441 EHF786441:EHM786441 ERB786441:ERI786441 FAX786441:FBE786441 FKT786441:FLA786441 FUP786441:FUW786441 GEL786441:GES786441 GOH786441:GOO786441 GYD786441:GYK786441 HHZ786441:HIG786441 HRV786441:HSC786441 IBR786441:IBY786441 ILN786441:ILU786441 IVJ786441:IVQ786441 JFF786441:JFM786441 JPB786441:JPI786441 JYX786441:JZE786441 KIT786441:KJA786441 KSP786441:KSW786441 LCL786441:LCS786441 LMH786441:LMO786441 LWD786441:LWK786441 MFZ786441:MGG786441 MPV786441:MQC786441 MZR786441:MZY786441 NJN786441:NJU786441 NTJ786441:NTQ786441 ODF786441:ODM786441 ONB786441:ONI786441 OWX786441:OXE786441 PGT786441:PHA786441 PQP786441:PQW786441 QAL786441:QAS786441 QKH786441:QKO786441 QUD786441:QUK786441 RDZ786441:REG786441 RNV786441:ROC786441 RXR786441:RXY786441 SHN786441:SHU786441 SRJ786441:SRQ786441 TBF786441:TBM786441 TLB786441:TLI786441 TUX786441:TVE786441 UET786441:UFA786441 UOP786441:UOW786441 UYL786441:UYS786441 VIH786441:VIO786441 VSD786441:VSK786441 WBZ786441:WCG786441 WLV786441:WMC786441 WVR786441:WVY786441 JF851977:JM851977 TB851977:TI851977 ACX851977:ADE851977 AMT851977:ANA851977 AWP851977:AWW851977 BGL851977:BGS851977 BQH851977:BQO851977 CAD851977:CAK851977 CJZ851977:CKG851977 CTV851977:CUC851977 DDR851977:DDY851977 DNN851977:DNU851977 DXJ851977:DXQ851977 EHF851977:EHM851977 ERB851977:ERI851977 FAX851977:FBE851977 FKT851977:FLA851977 FUP851977:FUW851977 GEL851977:GES851977 GOH851977:GOO851977 GYD851977:GYK851977 HHZ851977:HIG851977 HRV851977:HSC851977 IBR851977:IBY851977 ILN851977:ILU851977 IVJ851977:IVQ851977 JFF851977:JFM851977 JPB851977:JPI851977 JYX851977:JZE851977 KIT851977:KJA851977 KSP851977:KSW851977 LCL851977:LCS851977 LMH851977:LMO851977 LWD851977:LWK851977 MFZ851977:MGG851977 MPV851977:MQC851977 MZR851977:MZY851977 NJN851977:NJU851977 NTJ851977:NTQ851977 ODF851977:ODM851977 ONB851977:ONI851977 OWX851977:OXE851977 PGT851977:PHA851977 PQP851977:PQW851977 QAL851977:QAS851977 QKH851977:QKO851977 QUD851977:QUK851977 RDZ851977:REG851977 RNV851977:ROC851977 RXR851977:RXY851977 SHN851977:SHU851977 SRJ851977:SRQ851977 TBF851977:TBM851977 TLB851977:TLI851977 TUX851977:TVE851977 UET851977:UFA851977 UOP851977:UOW851977 UYL851977:UYS851977 VIH851977:VIO851977 VSD851977:VSK851977 WBZ851977:WCG851977 WLV851977:WMC851977 WVR851977:WVY851977 JF917513:JM917513 TB917513:TI917513 ACX917513:ADE917513 AMT917513:ANA917513 AWP917513:AWW917513 BGL917513:BGS917513 BQH917513:BQO917513 CAD917513:CAK917513 CJZ917513:CKG917513 CTV917513:CUC917513 DDR917513:DDY917513 DNN917513:DNU917513 DXJ917513:DXQ917513 EHF917513:EHM917513 ERB917513:ERI917513 FAX917513:FBE917513 FKT917513:FLA917513 FUP917513:FUW917513 GEL917513:GES917513 GOH917513:GOO917513 GYD917513:GYK917513 HHZ917513:HIG917513 HRV917513:HSC917513 IBR917513:IBY917513 ILN917513:ILU917513 IVJ917513:IVQ917513 JFF917513:JFM917513 JPB917513:JPI917513 JYX917513:JZE917513 KIT917513:KJA917513 KSP917513:KSW917513 LCL917513:LCS917513 LMH917513:LMO917513 LWD917513:LWK917513 MFZ917513:MGG917513 MPV917513:MQC917513 MZR917513:MZY917513 NJN917513:NJU917513 NTJ917513:NTQ917513 ODF917513:ODM917513 ONB917513:ONI917513 OWX917513:OXE917513 PGT917513:PHA917513 PQP917513:PQW917513 QAL917513:QAS917513 QKH917513:QKO917513 QUD917513:QUK917513 RDZ917513:REG917513 RNV917513:ROC917513 RXR917513:RXY917513 SHN917513:SHU917513 SRJ917513:SRQ917513 TBF917513:TBM917513 TLB917513:TLI917513 TUX917513:TVE917513 UET917513:UFA917513 UOP917513:UOW917513 UYL917513:UYS917513 VIH917513:VIO917513 VSD917513:VSK917513 WBZ917513:WCG917513 WLV917513:WMC917513 WVR917513:WVY917513 WVR983049:WVY983049 JF983049:JM983049 TB983049:TI983049 ACX983049:ADE983049 AMT983049:ANA983049 AWP983049:AWW983049 BGL983049:BGS983049 BQH983049:BQO983049 CAD983049:CAK983049 CJZ983049:CKG983049 CTV983049:CUC983049 DDR983049:DDY983049 DNN983049:DNU983049 DXJ983049:DXQ983049 EHF983049:EHM983049 ERB983049:ERI983049 FAX983049:FBE983049 FKT983049:FLA983049 FUP983049:FUW983049 GEL983049:GES983049 GOH983049:GOO983049 GYD983049:GYK983049 HHZ983049:HIG983049 HRV983049:HSC983049 IBR983049:IBY983049 ILN983049:ILU983049 IVJ983049:IVQ983049 JFF983049:JFM983049 JPB983049:JPI983049 JYX983049:JZE983049 KIT983049:KJA983049 KSP983049:KSW983049 LCL983049:LCS983049 LMH983049:LMO983049 LWD983049:LWK983049 MFZ983049:MGG983049 MPV983049:MQC983049 MZR983049:MZY983049 NJN983049:NJU983049 NTJ983049:NTQ983049 ODF983049:ODM983049 ONB983049:ONI983049 OWX983049:OXE983049 PGT983049:PHA983049 PQP983049:PQW983049 QAL983049:QAS983049 QKH983049:QKO983049 QUD983049:QUK983049 RDZ983049:REG983049 RNV983049:ROC983049 RXR983049:RXY983049 SHN983049:SHU983049 SRJ983049:SRQ983049 TBF983049:TBM983049 TLB983049:TLI983049 TUX983049:TVE983049 UET983049:UFA983049 UOP983049:UOW983049 UYL983049:UYS983049 VIH983049:VIO983049 VSD983049:VSK983049 WBZ983049:WCG983049 WLV983049:WMC983049 G983049:Q983049 G917513:Q917513 G851977:Q851977 G786441:Q786441 G720905:Q720905 G655369:Q655369 G589833:Q589833 G524297:Q524297 G458761:Q458761 G393225:Q393225 G327689:Q327689 G262153:Q262153 G196617:Q196617 G131081:Q131081 G65545:Q65545 G9:Q9 G983125:Q983125 G917589:Q917589 G852053:Q852053 G786517:Q786517 G720981:Q720981 G655445:Q655445 G589909:Q589909 G524373:Q524373 G458837:Q458837 G393301:Q393301 G327765:Q327765 G262229:Q262229 G196693:Q196693 G131157:Q131157 G65621:Q65621 G85:Q85" xr:uid="{00000000-0002-0000-0200-000001000000}">
      <formula1>"改修,新営"</formula1>
    </dataValidation>
    <dataValidation type="list" allowBlank="1" showInputMessage="1" showErrorMessage="1" sqref="JF304:JM304 TB304:TI304 ACX304:ADE304 AMT304:ANA304 AWP304:AWW304 BGL304:BGS304 BQH304:BQO304 CAD304:CAK304 CJZ304:CKG304 CTV304:CUC304 DDR304:DDY304 DNN304:DNU304 DXJ304:DXQ304 EHF304:EHM304 ERB304:ERI304 FAX304:FBE304 FKT304:FLA304 FUP304:FUW304 GEL304:GES304 GOH304:GOO304 GYD304:GYK304 HHZ304:HIG304 HRV304:HSC304 IBR304:IBY304 ILN304:ILU304 IVJ304:IVQ304 JFF304:JFM304 JPB304:JPI304 JYX304:JZE304 KIT304:KJA304 KSP304:KSW304 LCL304:LCS304 LMH304:LMO304 LWD304:LWK304 MFZ304:MGG304 MPV304:MQC304 MZR304:MZY304 NJN304:NJU304 NTJ304:NTQ304 ODF304:ODM304 ONB304:ONI304 OWX304:OXE304 PGT304:PHA304 PQP304:PQW304 QAL304:QAS304 QKH304:QKO304 QUD304:QUK304 RDZ304:REG304 RNV304:ROC304 RXR304:RXY304 SHN304:SHU304 SRJ304:SRQ304 TBF304:TBM304 TLB304:TLI304 TUX304:TVE304 UET304:UFA304 UOP304:UOW304 UYL304:UYS304 VIH304:VIO304 VSD304:VSK304 WBZ304:WCG304 WLV304:WMC304 WVR304:WVY304 JF65840:JM65840 TB65840:TI65840 ACX65840:ADE65840 AMT65840:ANA65840 AWP65840:AWW65840 BGL65840:BGS65840 BQH65840:BQO65840 CAD65840:CAK65840 CJZ65840:CKG65840 CTV65840:CUC65840 DDR65840:DDY65840 DNN65840:DNU65840 DXJ65840:DXQ65840 EHF65840:EHM65840 ERB65840:ERI65840 FAX65840:FBE65840 FKT65840:FLA65840 FUP65840:FUW65840 GEL65840:GES65840 GOH65840:GOO65840 GYD65840:GYK65840 HHZ65840:HIG65840 HRV65840:HSC65840 IBR65840:IBY65840 ILN65840:ILU65840 IVJ65840:IVQ65840 JFF65840:JFM65840 JPB65840:JPI65840 JYX65840:JZE65840 KIT65840:KJA65840 KSP65840:KSW65840 LCL65840:LCS65840 LMH65840:LMO65840 LWD65840:LWK65840 MFZ65840:MGG65840 MPV65840:MQC65840 MZR65840:MZY65840 NJN65840:NJU65840 NTJ65840:NTQ65840 ODF65840:ODM65840 ONB65840:ONI65840 OWX65840:OXE65840 PGT65840:PHA65840 PQP65840:PQW65840 QAL65840:QAS65840 QKH65840:QKO65840 QUD65840:QUK65840 RDZ65840:REG65840 RNV65840:ROC65840 RXR65840:RXY65840 SHN65840:SHU65840 SRJ65840:SRQ65840 TBF65840:TBM65840 TLB65840:TLI65840 TUX65840:TVE65840 UET65840:UFA65840 UOP65840:UOW65840 UYL65840:UYS65840 VIH65840:VIO65840 VSD65840:VSK65840 WBZ65840:WCG65840 WLV65840:WMC65840 WVR65840:WVY65840 JF131376:JM131376 TB131376:TI131376 ACX131376:ADE131376 AMT131376:ANA131376 AWP131376:AWW131376 BGL131376:BGS131376 BQH131376:BQO131376 CAD131376:CAK131376 CJZ131376:CKG131376 CTV131376:CUC131376 DDR131376:DDY131376 DNN131376:DNU131376 DXJ131376:DXQ131376 EHF131376:EHM131376 ERB131376:ERI131376 FAX131376:FBE131376 FKT131376:FLA131376 FUP131376:FUW131376 GEL131376:GES131376 GOH131376:GOO131376 GYD131376:GYK131376 HHZ131376:HIG131376 HRV131376:HSC131376 IBR131376:IBY131376 ILN131376:ILU131376 IVJ131376:IVQ131376 JFF131376:JFM131376 JPB131376:JPI131376 JYX131376:JZE131376 KIT131376:KJA131376 KSP131376:KSW131376 LCL131376:LCS131376 LMH131376:LMO131376 LWD131376:LWK131376 MFZ131376:MGG131376 MPV131376:MQC131376 MZR131376:MZY131376 NJN131376:NJU131376 NTJ131376:NTQ131376 ODF131376:ODM131376 ONB131376:ONI131376 OWX131376:OXE131376 PGT131376:PHA131376 PQP131376:PQW131376 QAL131376:QAS131376 QKH131376:QKO131376 QUD131376:QUK131376 RDZ131376:REG131376 RNV131376:ROC131376 RXR131376:RXY131376 SHN131376:SHU131376 SRJ131376:SRQ131376 TBF131376:TBM131376 TLB131376:TLI131376 TUX131376:TVE131376 UET131376:UFA131376 UOP131376:UOW131376 UYL131376:UYS131376 VIH131376:VIO131376 VSD131376:VSK131376 WBZ131376:WCG131376 WLV131376:WMC131376 WVR131376:WVY131376 JF196912:JM196912 TB196912:TI196912 ACX196912:ADE196912 AMT196912:ANA196912 AWP196912:AWW196912 BGL196912:BGS196912 BQH196912:BQO196912 CAD196912:CAK196912 CJZ196912:CKG196912 CTV196912:CUC196912 DDR196912:DDY196912 DNN196912:DNU196912 DXJ196912:DXQ196912 EHF196912:EHM196912 ERB196912:ERI196912 FAX196912:FBE196912 FKT196912:FLA196912 FUP196912:FUW196912 GEL196912:GES196912 GOH196912:GOO196912 GYD196912:GYK196912 HHZ196912:HIG196912 HRV196912:HSC196912 IBR196912:IBY196912 ILN196912:ILU196912 IVJ196912:IVQ196912 JFF196912:JFM196912 JPB196912:JPI196912 JYX196912:JZE196912 KIT196912:KJA196912 KSP196912:KSW196912 LCL196912:LCS196912 LMH196912:LMO196912 LWD196912:LWK196912 MFZ196912:MGG196912 MPV196912:MQC196912 MZR196912:MZY196912 NJN196912:NJU196912 NTJ196912:NTQ196912 ODF196912:ODM196912 ONB196912:ONI196912 OWX196912:OXE196912 PGT196912:PHA196912 PQP196912:PQW196912 QAL196912:QAS196912 QKH196912:QKO196912 QUD196912:QUK196912 RDZ196912:REG196912 RNV196912:ROC196912 RXR196912:RXY196912 SHN196912:SHU196912 SRJ196912:SRQ196912 TBF196912:TBM196912 TLB196912:TLI196912 TUX196912:TVE196912 UET196912:UFA196912 UOP196912:UOW196912 UYL196912:UYS196912 VIH196912:VIO196912 VSD196912:VSK196912 WBZ196912:WCG196912 WLV196912:WMC196912 WVR196912:WVY196912 JF262448:JM262448 TB262448:TI262448 ACX262448:ADE262448 AMT262448:ANA262448 AWP262448:AWW262448 BGL262448:BGS262448 BQH262448:BQO262448 CAD262448:CAK262448 CJZ262448:CKG262448 CTV262448:CUC262448 DDR262448:DDY262448 DNN262448:DNU262448 DXJ262448:DXQ262448 EHF262448:EHM262448 ERB262448:ERI262448 FAX262448:FBE262448 FKT262448:FLA262448 FUP262448:FUW262448 GEL262448:GES262448 GOH262448:GOO262448 GYD262448:GYK262448 HHZ262448:HIG262448 HRV262448:HSC262448 IBR262448:IBY262448 ILN262448:ILU262448 IVJ262448:IVQ262448 JFF262448:JFM262448 JPB262448:JPI262448 JYX262448:JZE262448 KIT262448:KJA262448 KSP262448:KSW262448 LCL262448:LCS262448 LMH262448:LMO262448 LWD262448:LWK262448 MFZ262448:MGG262448 MPV262448:MQC262448 MZR262448:MZY262448 NJN262448:NJU262448 NTJ262448:NTQ262448 ODF262448:ODM262448 ONB262448:ONI262448 OWX262448:OXE262448 PGT262448:PHA262448 PQP262448:PQW262448 QAL262448:QAS262448 QKH262448:QKO262448 QUD262448:QUK262448 RDZ262448:REG262448 RNV262448:ROC262448 RXR262448:RXY262448 SHN262448:SHU262448 SRJ262448:SRQ262448 TBF262448:TBM262448 TLB262448:TLI262448 TUX262448:TVE262448 UET262448:UFA262448 UOP262448:UOW262448 UYL262448:UYS262448 VIH262448:VIO262448 VSD262448:VSK262448 WBZ262448:WCG262448 WLV262448:WMC262448 WVR262448:WVY262448 JF327984:JM327984 TB327984:TI327984 ACX327984:ADE327984 AMT327984:ANA327984 AWP327984:AWW327984 BGL327984:BGS327984 BQH327984:BQO327984 CAD327984:CAK327984 CJZ327984:CKG327984 CTV327984:CUC327984 DDR327984:DDY327984 DNN327984:DNU327984 DXJ327984:DXQ327984 EHF327984:EHM327984 ERB327984:ERI327984 FAX327984:FBE327984 FKT327984:FLA327984 FUP327984:FUW327984 GEL327984:GES327984 GOH327984:GOO327984 GYD327984:GYK327984 HHZ327984:HIG327984 HRV327984:HSC327984 IBR327984:IBY327984 ILN327984:ILU327984 IVJ327984:IVQ327984 JFF327984:JFM327984 JPB327984:JPI327984 JYX327984:JZE327984 KIT327984:KJA327984 KSP327984:KSW327984 LCL327984:LCS327984 LMH327984:LMO327984 LWD327984:LWK327984 MFZ327984:MGG327984 MPV327984:MQC327984 MZR327984:MZY327984 NJN327984:NJU327984 NTJ327984:NTQ327984 ODF327984:ODM327984 ONB327984:ONI327984 OWX327984:OXE327984 PGT327984:PHA327984 PQP327984:PQW327984 QAL327984:QAS327984 QKH327984:QKO327984 QUD327984:QUK327984 RDZ327984:REG327984 RNV327984:ROC327984 RXR327984:RXY327984 SHN327984:SHU327984 SRJ327984:SRQ327984 TBF327984:TBM327984 TLB327984:TLI327984 TUX327984:TVE327984 UET327984:UFA327984 UOP327984:UOW327984 UYL327984:UYS327984 VIH327984:VIO327984 VSD327984:VSK327984 WBZ327984:WCG327984 WLV327984:WMC327984 WVR327984:WVY327984 JF393520:JM393520 TB393520:TI393520 ACX393520:ADE393520 AMT393520:ANA393520 AWP393520:AWW393520 BGL393520:BGS393520 BQH393520:BQO393520 CAD393520:CAK393520 CJZ393520:CKG393520 CTV393520:CUC393520 DDR393520:DDY393520 DNN393520:DNU393520 DXJ393520:DXQ393520 EHF393520:EHM393520 ERB393520:ERI393520 FAX393520:FBE393520 FKT393520:FLA393520 FUP393520:FUW393520 GEL393520:GES393520 GOH393520:GOO393520 GYD393520:GYK393520 HHZ393520:HIG393520 HRV393520:HSC393520 IBR393520:IBY393520 ILN393520:ILU393520 IVJ393520:IVQ393520 JFF393520:JFM393520 JPB393520:JPI393520 JYX393520:JZE393520 KIT393520:KJA393520 KSP393520:KSW393520 LCL393520:LCS393520 LMH393520:LMO393520 LWD393520:LWK393520 MFZ393520:MGG393520 MPV393520:MQC393520 MZR393520:MZY393520 NJN393520:NJU393520 NTJ393520:NTQ393520 ODF393520:ODM393520 ONB393520:ONI393520 OWX393520:OXE393520 PGT393520:PHA393520 PQP393520:PQW393520 QAL393520:QAS393520 QKH393520:QKO393520 QUD393520:QUK393520 RDZ393520:REG393520 RNV393520:ROC393520 RXR393520:RXY393520 SHN393520:SHU393520 SRJ393520:SRQ393520 TBF393520:TBM393520 TLB393520:TLI393520 TUX393520:TVE393520 UET393520:UFA393520 UOP393520:UOW393520 UYL393520:UYS393520 VIH393520:VIO393520 VSD393520:VSK393520 WBZ393520:WCG393520 WLV393520:WMC393520 WVR393520:WVY393520 JF459056:JM459056 TB459056:TI459056 ACX459056:ADE459056 AMT459056:ANA459056 AWP459056:AWW459056 BGL459056:BGS459056 BQH459056:BQO459056 CAD459056:CAK459056 CJZ459056:CKG459056 CTV459056:CUC459056 DDR459056:DDY459056 DNN459056:DNU459056 DXJ459056:DXQ459056 EHF459056:EHM459056 ERB459056:ERI459056 FAX459056:FBE459056 FKT459056:FLA459056 FUP459056:FUW459056 GEL459056:GES459056 GOH459056:GOO459056 GYD459056:GYK459056 HHZ459056:HIG459056 HRV459056:HSC459056 IBR459056:IBY459056 ILN459056:ILU459056 IVJ459056:IVQ459056 JFF459056:JFM459056 JPB459056:JPI459056 JYX459056:JZE459056 KIT459056:KJA459056 KSP459056:KSW459056 LCL459056:LCS459056 LMH459056:LMO459056 LWD459056:LWK459056 MFZ459056:MGG459056 MPV459056:MQC459056 MZR459056:MZY459056 NJN459056:NJU459056 NTJ459056:NTQ459056 ODF459056:ODM459056 ONB459056:ONI459056 OWX459056:OXE459056 PGT459056:PHA459056 PQP459056:PQW459056 QAL459056:QAS459056 QKH459056:QKO459056 QUD459056:QUK459056 RDZ459056:REG459056 RNV459056:ROC459056 RXR459056:RXY459056 SHN459056:SHU459056 SRJ459056:SRQ459056 TBF459056:TBM459056 TLB459056:TLI459056 TUX459056:TVE459056 UET459056:UFA459056 UOP459056:UOW459056 UYL459056:UYS459056 VIH459056:VIO459056 VSD459056:VSK459056 WBZ459056:WCG459056 WLV459056:WMC459056 WVR459056:WVY459056 JF524592:JM524592 TB524592:TI524592 ACX524592:ADE524592 AMT524592:ANA524592 AWP524592:AWW524592 BGL524592:BGS524592 BQH524592:BQO524592 CAD524592:CAK524592 CJZ524592:CKG524592 CTV524592:CUC524592 DDR524592:DDY524592 DNN524592:DNU524592 DXJ524592:DXQ524592 EHF524592:EHM524592 ERB524592:ERI524592 FAX524592:FBE524592 FKT524592:FLA524592 FUP524592:FUW524592 GEL524592:GES524592 GOH524592:GOO524592 GYD524592:GYK524592 HHZ524592:HIG524592 HRV524592:HSC524592 IBR524592:IBY524592 ILN524592:ILU524592 IVJ524592:IVQ524592 JFF524592:JFM524592 JPB524592:JPI524592 JYX524592:JZE524592 KIT524592:KJA524592 KSP524592:KSW524592 LCL524592:LCS524592 LMH524592:LMO524592 LWD524592:LWK524592 MFZ524592:MGG524592 MPV524592:MQC524592 MZR524592:MZY524592 NJN524592:NJU524592 NTJ524592:NTQ524592 ODF524592:ODM524592 ONB524592:ONI524592 OWX524592:OXE524592 PGT524592:PHA524592 PQP524592:PQW524592 QAL524592:QAS524592 QKH524592:QKO524592 QUD524592:QUK524592 RDZ524592:REG524592 RNV524592:ROC524592 RXR524592:RXY524592 SHN524592:SHU524592 SRJ524592:SRQ524592 TBF524592:TBM524592 TLB524592:TLI524592 TUX524592:TVE524592 UET524592:UFA524592 UOP524592:UOW524592 UYL524592:UYS524592 VIH524592:VIO524592 VSD524592:VSK524592 WBZ524592:WCG524592 WLV524592:WMC524592 WVR524592:WVY524592 JF590128:JM590128 TB590128:TI590128 ACX590128:ADE590128 AMT590128:ANA590128 AWP590128:AWW590128 BGL590128:BGS590128 BQH590128:BQO590128 CAD590128:CAK590128 CJZ590128:CKG590128 CTV590128:CUC590128 DDR590128:DDY590128 DNN590128:DNU590128 DXJ590128:DXQ590128 EHF590128:EHM590128 ERB590128:ERI590128 FAX590128:FBE590128 FKT590128:FLA590128 FUP590128:FUW590128 GEL590128:GES590128 GOH590128:GOO590128 GYD590128:GYK590128 HHZ590128:HIG590128 HRV590128:HSC590128 IBR590128:IBY590128 ILN590128:ILU590128 IVJ590128:IVQ590128 JFF590128:JFM590128 JPB590128:JPI590128 JYX590128:JZE590128 KIT590128:KJA590128 KSP590128:KSW590128 LCL590128:LCS590128 LMH590128:LMO590128 LWD590128:LWK590128 MFZ590128:MGG590128 MPV590128:MQC590128 MZR590128:MZY590128 NJN590128:NJU590128 NTJ590128:NTQ590128 ODF590128:ODM590128 ONB590128:ONI590128 OWX590128:OXE590128 PGT590128:PHA590128 PQP590128:PQW590128 QAL590128:QAS590128 QKH590128:QKO590128 QUD590128:QUK590128 RDZ590128:REG590128 RNV590128:ROC590128 RXR590128:RXY590128 SHN590128:SHU590128 SRJ590128:SRQ590128 TBF590128:TBM590128 TLB590128:TLI590128 TUX590128:TVE590128 UET590128:UFA590128 UOP590128:UOW590128 UYL590128:UYS590128 VIH590128:VIO590128 VSD590128:VSK590128 WBZ590128:WCG590128 WLV590128:WMC590128 WVR590128:WVY590128 JF655664:JM655664 TB655664:TI655664 ACX655664:ADE655664 AMT655664:ANA655664 AWP655664:AWW655664 BGL655664:BGS655664 BQH655664:BQO655664 CAD655664:CAK655664 CJZ655664:CKG655664 CTV655664:CUC655664 DDR655664:DDY655664 DNN655664:DNU655664 DXJ655664:DXQ655664 EHF655664:EHM655664 ERB655664:ERI655664 FAX655664:FBE655664 FKT655664:FLA655664 FUP655664:FUW655664 GEL655664:GES655664 GOH655664:GOO655664 GYD655664:GYK655664 HHZ655664:HIG655664 HRV655664:HSC655664 IBR655664:IBY655664 ILN655664:ILU655664 IVJ655664:IVQ655664 JFF655664:JFM655664 JPB655664:JPI655664 JYX655664:JZE655664 KIT655664:KJA655664 KSP655664:KSW655664 LCL655664:LCS655664 LMH655664:LMO655664 LWD655664:LWK655664 MFZ655664:MGG655664 MPV655664:MQC655664 MZR655664:MZY655664 NJN655664:NJU655664 NTJ655664:NTQ655664 ODF655664:ODM655664 ONB655664:ONI655664 OWX655664:OXE655664 PGT655664:PHA655664 PQP655664:PQW655664 QAL655664:QAS655664 QKH655664:QKO655664 QUD655664:QUK655664 RDZ655664:REG655664 RNV655664:ROC655664 RXR655664:RXY655664 SHN655664:SHU655664 SRJ655664:SRQ655664 TBF655664:TBM655664 TLB655664:TLI655664 TUX655664:TVE655664 UET655664:UFA655664 UOP655664:UOW655664 UYL655664:UYS655664 VIH655664:VIO655664 VSD655664:VSK655664 WBZ655664:WCG655664 WLV655664:WMC655664 WVR655664:WVY655664 JF721200:JM721200 TB721200:TI721200 ACX721200:ADE721200 AMT721200:ANA721200 AWP721200:AWW721200 BGL721200:BGS721200 BQH721200:BQO721200 CAD721200:CAK721200 CJZ721200:CKG721200 CTV721200:CUC721200 DDR721200:DDY721200 DNN721200:DNU721200 DXJ721200:DXQ721200 EHF721200:EHM721200 ERB721200:ERI721200 FAX721200:FBE721200 FKT721200:FLA721200 FUP721200:FUW721200 GEL721200:GES721200 GOH721200:GOO721200 GYD721200:GYK721200 HHZ721200:HIG721200 HRV721200:HSC721200 IBR721200:IBY721200 ILN721200:ILU721200 IVJ721200:IVQ721200 JFF721200:JFM721200 JPB721200:JPI721200 JYX721200:JZE721200 KIT721200:KJA721200 KSP721200:KSW721200 LCL721200:LCS721200 LMH721200:LMO721200 LWD721200:LWK721200 MFZ721200:MGG721200 MPV721200:MQC721200 MZR721200:MZY721200 NJN721200:NJU721200 NTJ721200:NTQ721200 ODF721200:ODM721200 ONB721200:ONI721200 OWX721200:OXE721200 PGT721200:PHA721200 PQP721200:PQW721200 QAL721200:QAS721200 QKH721200:QKO721200 QUD721200:QUK721200 RDZ721200:REG721200 RNV721200:ROC721200 RXR721200:RXY721200 SHN721200:SHU721200 SRJ721200:SRQ721200 TBF721200:TBM721200 TLB721200:TLI721200 TUX721200:TVE721200 UET721200:UFA721200 UOP721200:UOW721200 UYL721200:UYS721200 VIH721200:VIO721200 VSD721200:VSK721200 WBZ721200:WCG721200 WLV721200:WMC721200 WVR721200:WVY721200 JF786736:JM786736 TB786736:TI786736 ACX786736:ADE786736 AMT786736:ANA786736 AWP786736:AWW786736 BGL786736:BGS786736 BQH786736:BQO786736 CAD786736:CAK786736 CJZ786736:CKG786736 CTV786736:CUC786736 DDR786736:DDY786736 DNN786736:DNU786736 DXJ786736:DXQ786736 EHF786736:EHM786736 ERB786736:ERI786736 FAX786736:FBE786736 FKT786736:FLA786736 FUP786736:FUW786736 GEL786736:GES786736 GOH786736:GOO786736 GYD786736:GYK786736 HHZ786736:HIG786736 HRV786736:HSC786736 IBR786736:IBY786736 ILN786736:ILU786736 IVJ786736:IVQ786736 JFF786736:JFM786736 JPB786736:JPI786736 JYX786736:JZE786736 KIT786736:KJA786736 KSP786736:KSW786736 LCL786736:LCS786736 LMH786736:LMO786736 LWD786736:LWK786736 MFZ786736:MGG786736 MPV786736:MQC786736 MZR786736:MZY786736 NJN786736:NJU786736 NTJ786736:NTQ786736 ODF786736:ODM786736 ONB786736:ONI786736 OWX786736:OXE786736 PGT786736:PHA786736 PQP786736:PQW786736 QAL786736:QAS786736 QKH786736:QKO786736 QUD786736:QUK786736 RDZ786736:REG786736 RNV786736:ROC786736 RXR786736:RXY786736 SHN786736:SHU786736 SRJ786736:SRQ786736 TBF786736:TBM786736 TLB786736:TLI786736 TUX786736:TVE786736 UET786736:UFA786736 UOP786736:UOW786736 UYL786736:UYS786736 VIH786736:VIO786736 VSD786736:VSK786736 WBZ786736:WCG786736 WLV786736:WMC786736 WVR786736:WVY786736 JF852272:JM852272 TB852272:TI852272 ACX852272:ADE852272 AMT852272:ANA852272 AWP852272:AWW852272 BGL852272:BGS852272 BQH852272:BQO852272 CAD852272:CAK852272 CJZ852272:CKG852272 CTV852272:CUC852272 DDR852272:DDY852272 DNN852272:DNU852272 DXJ852272:DXQ852272 EHF852272:EHM852272 ERB852272:ERI852272 FAX852272:FBE852272 FKT852272:FLA852272 FUP852272:FUW852272 GEL852272:GES852272 GOH852272:GOO852272 GYD852272:GYK852272 HHZ852272:HIG852272 HRV852272:HSC852272 IBR852272:IBY852272 ILN852272:ILU852272 IVJ852272:IVQ852272 JFF852272:JFM852272 JPB852272:JPI852272 JYX852272:JZE852272 KIT852272:KJA852272 KSP852272:KSW852272 LCL852272:LCS852272 LMH852272:LMO852272 LWD852272:LWK852272 MFZ852272:MGG852272 MPV852272:MQC852272 MZR852272:MZY852272 NJN852272:NJU852272 NTJ852272:NTQ852272 ODF852272:ODM852272 ONB852272:ONI852272 OWX852272:OXE852272 PGT852272:PHA852272 PQP852272:PQW852272 QAL852272:QAS852272 QKH852272:QKO852272 QUD852272:QUK852272 RDZ852272:REG852272 RNV852272:ROC852272 RXR852272:RXY852272 SHN852272:SHU852272 SRJ852272:SRQ852272 TBF852272:TBM852272 TLB852272:TLI852272 TUX852272:TVE852272 UET852272:UFA852272 UOP852272:UOW852272 UYL852272:UYS852272 VIH852272:VIO852272 VSD852272:VSK852272 WBZ852272:WCG852272 WLV852272:WMC852272 WVR852272:WVY852272 JF917808:JM917808 TB917808:TI917808 ACX917808:ADE917808 AMT917808:ANA917808 AWP917808:AWW917808 BGL917808:BGS917808 BQH917808:BQO917808 CAD917808:CAK917808 CJZ917808:CKG917808 CTV917808:CUC917808 DDR917808:DDY917808 DNN917808:DNU917808 DXJ917808:DXQ917808 EHF917808:EHM917808 ERB917808:ERI917808 FAX917808:FBE917808 FKT917808:FLA917808 FUP917808:FUW917808 GEL917808:GES917808 GOH917808:GOO917808 GYD917808:GYK917808 HHZ917808:HIG917808 HRV917808:HSC917808 IBR917808:IBY917808 ILN917808:ILU917808 IVJ917808:IVQ917808 JFF917808:JFM917808 JPB917808:JPI917808 JYX917808:JZE917808 KIT917808:KJA917808 KSP917808:KSW917808 LCL917808:LCS917808 LMH917808:LMO917808 LWD917808:LWK917808 MFZ917808:MGG917808 MPV917808:MQC917808 MZR917808:MZY917808 NJN917808:NJU917808 NTJ917808:NTQ917808 ODF917808:ODM917808 ONB917808:ONI917808 OWX917808:OXE917808 PGT917808:PHA917808 PQP917808:PQW917808 QAL917808:QAS917808 QKH917808:QKO917808 QUD917808:QUK917808 RDZ917808:REG917808 RNV917808:ROC917808 RXR917808:RXY917808 SHN917808:SHU917808 SRJ917808:SRQ917808 TBF917808:TBM917808 TLB917808:TLI917808 TUX917808:TVE917808 UET917808:UFA917808 UOP917808:UOW917808 UYL917808:UYS917808 VIH917808:VIO917808 VSD917808:VSK917808 WBZ917808:WCG917808 WLV917808:WMC917808 WVR917808:WVY917808 JF983344:JM983344 TB983344:TI983344 ACX983344:ADE983344 AMT983344:ANA983344 AWP983344:AWW983344 BGL983344:BGS983344 BQH983344:BQO983344 CAD983344:CAK983344 CJZ983344:CKG983344 CTV983344:CUC983344 DDR983344:DDY983344 DNN983344:DNU983344 DXJ983344:DXQ983344 EHF983344:EHM983344 ERB983344:ERI983344 FAX983344:FBE983344 FKT983344:FLA983344 FUP983344:FUW983344 GEL983344:GES983344 GOH983344:GOO983344 GYD983344:GYK983344 HHZ983344:HIG983344 HRV983344:HSC983344 IBR983344:IBY983344 ILN983344:ILU983344 IVJ983344:IVQ983344 JFF983344:JFM983344 JPB983344:JPI983344 JYX983344:JZE983344 KIT983344:KJA983344 KSP983344:KSW983344 LCL983344:LCS983344 LMH983344:LMO983344 LWD983344:LWK983344 MFZ983344:MGG983344 MPV983344:MQC983344 MZR983344:MZY983344 NJN983344:NJU983344 NTJ983344:NTQ983344 ODF983344:ODM983344 ONB983344:ONI983344 OWX983344:OXE983344 PGT983344:PHA983344 PQP983344:PQW983344 QAL983344:QAS983344 QKH983344:QKO983344 QUD983344:QUK983344 RDZ983344:REG983344 RNV983344:ROC983344 RXR983344:RXY983344 SHN983344:SHU983344 SRJ983344:SRQ983344 TBF983344:TBM983344 TLB983344:TLI983344 TUX983344:TVE983344 UET983344:UFA983344 UOP983344:UOW983344 UYL983344:UYS983344 VIH983344:VIO983344 VSD983344:VSK983344 WBZ983344:WCG983344 WLV983344:WMC983344 WVR983344:WVY983344 JF88:JM88 TB88:TI88 ACX88:ADE88 AMT88:ANA88 AWP88:AWW88 BGL88:BGS88 BQH88:BQO88 CAD88:CAK88 CJZ88:CKG88 CTV88:CUC88 DDR88:DDY88 DNN88:DNU88 DXJ88:DXQ88 EHF88:EHM88 ERB88:ERI88 FAX88:FBE88 FKT88:FLA88 FUP88:FUW88 GEL88:GES88 GOH88:GOO88 GYD88:GYK88 HHZ88:HIG88 HRV88:HSC88 IBR88:IBY88 ILN88:ILU88 IVJ88:IVQ88 JFF88:JFM88 JPB88:JPI88 JYX88:JZE88 KIT88:KJA88 KSP88:KSW88 LCL88:LCS88 LMH88:LMO88 LWD88:LWK88 MFZ88:MGG88 MPV88:MQC88 MZR88:MZY88 NJN88:NJU88 NTJ88:NTQ88 ODF88:ODM88 ONB88:ONI88 OWX88:OXE88 PGT88:PHA88 PQP88:PQW88 QAL88:QAS88 QKH88:QKO88 QUD88:QUK88 RDZ88:REG88 RNV88:ROC88 RXR88:RXY88 SHN88:SHU88 SRJ88:SRQ88 TBF88:TBM88 TLB88:TLI88 TUX88:TVE88 UET88:UFA88 UOP88:UOW88 UYL88:UYS88 VIH88:VIO88 VSD88:VSK88 WBZ88:WCG88 WLV88:WMC88 WVR88:WVY88 JF65624:JM65624 TB65624:TI65624 ACX65624:ADE65624 AMT65624:ANA65624 AWP65624:AWW65624 BGL65624:BGS65624 BQH65624:BQO65624 CAD65624:CAK65624 CJZ65624:CKG65624 CTV65624:CUC65624 DDR65624:DDY65624 DNN65624:DNU65624 DXJ65624:DXQ65624 EHF65624:EHM65624 ERB65624:ERI65624 FAX65624:FBE65624 FKT65624:FLA65624 FUP65624:FUW65624 GEL65624:GES65624 GOH65624:GOO65624 GYD65624:GYK65624 HHZ65624:HIG65624 HRV65624:HSC65624 IBR65624:IBY65624 ILN65624:ILU65624 IVJ65624:IVQ65624 JFF65624:JFM65624 JPB65624:JPI65624 JYX65624:JZE65624 KIT65624:KJA65624 KSP65624:KSW65624 LCL65624:LCS65624 LMH65624:LMO65624 LWD65624:LWK65624 MFZ65624:MGG65624 MPV65624:MQC65624 MZR65624:MZY65624 NJN65624:NJU65624 NTJ65624:NTQ65624 ODF65624:ODM65624 ONB65624:ONI65624 OWX65624:OXE65624 PGT65624:PHA65624 PQP65624:PQW65624 QAL65624:QAS65624 QKH65624:QKO65624 QUD65624:QUK65624 RDZ65624:REG65624 RNV65624:ROC65624 RXR65624:RXY65624 SHN65624:SHU65624 SRJ65624:SRQ65624 TBF65624:TBM65624 TLB65624:TLI65624 TUX65624:TVE65624 UET65624:UFA65624 UOP65624:UOW65624 UYL65624:UYS65624 VIH65624:VIO65624 VSD65624:VSK65624 WBZ65624:WCG65624 WLV65624:WMC65624 WVR65624:WVY65624 JF131160:JM131160 TB131160:TI131160 ACX131160:ADE131160 AMT131160:ANA131160 AWP131160:AWW131160 BGL131160:BGS131160 BQH131160:BQO131160 CAD131160:CAK131160 CJZ131160:CKG131160 CTV131160:CUC131160 DDR131160:DDY131160 DNN131160:DNU131160 DXJ131160:DXQ131160 EHF131160:EHM131160 ERB131160:ERI131160 FAX131160:FBE131160 FKT131160:FLA131160 FUP131160:FUW131160 GEL131160:GES131160 GOH131160:GOO131160 GYD131160:GYK131160 HHZ131160:HIG131160 HRV131160:HSC131160 IBR131160:IBY131160 ILN131160:ILU131160 IVJ131160:IVQ131160 JFF131160:JFM131160 JPB131160:JPI131160 JYX131160:JZE131160 KIT131160:KJA131160 KSP131160:KSW131160 LCL131160:LCS131160 LMH131160:LMO131160 LWD131160:LWK131160 MFZ131160:MGG131160 MPV131160:MQC131160 MZR131160:MZY131160 NJN131160:NJU131160 NTJ131160:NTQ131160 ODF131160:ODM131160 ONB131160:ONI131160 OWX131160:OXE131160 PGT131160:PHA131160 PQP131160:PQW131160 QAL131160:QAS131160 QKH131160:QKO131160 QUD131160:QUK131160 RDZ131160:REG131160 RNV131160:ROC131160 RXR131160:RXY131160 SHN131160:SHU131160 SRJ131160:SRQ131160 TBF131160:TBM131160 TLB131160:TLI131160 TUX131160:TVE131160 UET131160:UFA131160 UOP131160:UOW131160 UYL131160:UYS131160 VIH131160:VIO131160 VSD131160:VSK131160 WBZ131160:WCG131160 WLV131160:WMC131160 WVR131160:WVY131160 JF196696:JM196696 TB196696:TI196696 ACX196696:ADE196696 AMT196696:ANA196696 AWP196696:AWW196696 BGL196696:BGS196696 BQH196696:BQO196696 CAD196696:CAK196696 CJZ196696:CKG196696 CTV196696:CUC196696 DDR196696:DDY196696 DNN196696:DNU196696 DXJ196696:DXQ196696 EHF196696:EHM196696 ERB196696:ERI196696 FAX196696:FBE196696 FKT196696:FLA196696 FUP196696:FUW196696 GEL196696:GES196696 GOH196696:GOO196696 GYD196696:GYK196696 HHZ196696:HIG196696 HRV196696:HSC196696 IBR196696:IBY196696 ILN196696:ILU196696 IVJ196696:IVQ196696 JFF196696:JFM196696 JPB196696:JPI196696 JYX196696:JZE196696 KIT196696:KJA196696 KSP196696:KSW196696 LCL196696:LCS196696 LMH196696:LMO196696 LWD196696:LWK196696 MFZ196696:MGG196696 MPV196696:MQC196696 MZR196696:MZY196696 NJN196696:NJU196696 NTJ196696:NTQ196696 ODF196696:ODM196696 ONB196696:ONI196696 OWX196696:OXE196696 PGT196696:PHA196696 PQP196696:PQW196696 QAL196696:QAS196696 QKH196696:QKO196696 QUD196696:QUK196696 RDZ196696:REG196696 RNV196696:ROC196696 RXR196696:RXY196696 SHN196696:SHU196696 SRJ196696:SRQ196696 TBF196696:TBM196696 TLB196696:TLI196696 TUX196696:TVE196696 UET196696:UFA196696 UOP196696:UOW196696 UYL196696:UYS196696 VIH196696:VIO196696 VSD196696:VSK196696 WBZ196696:WCG196696 WLV196696:WMC196696 WVR196696:WVY196696 JF262232:JM262232 TB262232:TI262232 ACX262232:ADE262232 AMT262232:ANA262232 AWP262232:AWW262232 BGL262232:BGS262232 BQH262232:BQO262232 CAD262232:CAK262232 CJZ262232:CKG262232 CTV262232:CUC262232 DDR262232:DDY262232 DNN262232:DNU262232 DXJ262232:DXQ262232 EHF262232:EHM262232 ERB262232:ERI262232 FAX262232:FBE262232 FKT262232:FLA262232 FUP262232:FUW262232 GEL262232:GES262232 GOH262232:GOO262232 GYD262232:GYK262232 HHZ262232:HIG262232 HRV262232:HSC262232 IBR262232:IBY262232 ILN262232:ILU262232 IVJ262232:IVQ262232 JFF262232:JFM262232 JPB262232:JPI262232 JYX262232:JZE262232 KIT262232:KJA262232 KSP262232:KSW262232 LCL262232:LCS262232 LMH262232:LMO262232 LWD262232:LWK262232 MFZ262232:MGG262232 MPV262232:MQC262232 MZR262232:MZY262232 NJN262232:NJU262232 NTJ262232:NTQ262232 ODF262232:ODM262232 ONB262232:ONI262232 OWX262232:OXE262232 PGT262232:PHA262232 PQP262232:PQW262232 QAL262232:QAS262232 QKH262232:QKO262232 QUD262232:QUK262232 RDZ262232:REG262232 RNV262232:ROC262232 RXR262232:RXY262232 SHN262232:SHU262232 SRJ262232:SRQ262232 TBF262232:TBM262232 TLB262232:TLI262232 TUX262232:TVE262232 UET262232:UFA262232 UOP262232:UOW262232 UYL262232:UYS262232 VIH262232:VIO262232 VSD262232:VSK262232 WBZ262232:WCG262232 WLV262232:WMC262232 WVR262232:WVY262232 JF327768:JM327768 TB327768:TI327768 ACX327768:ADE327768 AMT327768:ANA327768 AWP327768:AWW327768 BGL327768:BGS327768 BQH327768:BQO327768 CAD327768:CAK327768 CJZ327768:CKG327768 CTV327768:CUC327768 DDR327768:DDY327768 DNN327768:DNU327768 DXJ327768:DXQ327768 EHF327768:EHM327768 ERB327768:ERI327768 FAX327768:FBE327768 FKT327768:FLA327768 FUP327768:FUW327768 GEL327768:GES327768 GOH327768:GOO327768 GYD327768:GYK327768 HHZ327768:HIG327768 HRV327768:HSC327768 IBR327768:IBY327768 ILN327768:ILU327768 IVJ327768:IVQ327768 JFF327768:JFM327768 JPB327768:JPI327768 JYX327768:JZE327768 KIT327768:KJA327768 KSP327768:KSW327768 LCL327768:LCS327768 LMH327768:LMO327768 LWD327768:LWK327768 MFZ327768:MGG327768 MPV327768:MQC327768 MZR327768:MZY327768 NJN327768:NJU327768 NTJ327768:NTQ327768 ODF327768:ODM327768 ONB327768:ONI327768 OWX327768:OXE327768 PGT327768:PHA327768 PQP327768:PQW327768 QAL327768:QAS327768 QKH327768:QKO327768 QUD327768:QUK327768 RDZ327768:REG327768 RNV327768:ROC327768 RXR327768:RXY327768 SHN327768:SHU327768 SRJ327768:SRQ327768 TBF327768:TBM327768 TLB327768:TLI327768 TUX327768:TVE327768 UET327768:UFA327768 UOP327768:UOW327768 UYL327768:UYS327768 VIH327768:VIO327768 VSD327768:VSK327768 WBZ327768:WCG327768 WLV327768:WMC327768 WVR327768:WVY327768 JF393304:JM393304 TB393304:TI393304 ACX393304:ADE393304 AMT393304:ANA393304 AWP393304:AWW393304 BGL393304:BGS393304 BQH393304:BQO393304 CAD393304:CAK393304 CJZ393304:CKG393304 CTV393304:CUC393304 DDR393304:DDY393304 DNN393304:DNU393304 DXJ393304:DXQ393304 EHF393304:EHM393304 ERB393304:ERI393304 FAX393304:FBE393304 FKT393304:FLA393304 FUP393304:FUW393304 GEL393304:GES393304 GOH393304:GOO393304 GYD393304:GYK393304 HHZ393304:HIG393304 HRV393304:HSC393304 IBR393304:IBY393304 ILN393304:ILU393304 IVJ393304:IVQ393304 JFF393304:JFM393304 JPB393304:JPI393304 JYX393304:JZE393304 KIT393304:KJA393304 KSP393304:KSW393304 LCL393304:LCS393304 LMH393304:LMO393304 LWD393304:LWK393304 MFZ393304:MGG393304 MPV393304:MQC393304 MZR393304:MZY393304 NJN393304:NJU393304 NTJ393304:NTQ393304 ODF393304:ODM393304 ONB393304:ONI393304 OWX393304:OXE393304 PGT393304:PHA393304 PQP393304:PQW393304 QAL393304:QAS393304 QKH393304:QKO393304 QUD393304:QUK393304 RDZ393304:REG393304 RNV393304:ROC393304 RXR393304:RXY393304 SHN393304:SHU393304 SRJ393304:SRQ393304 TBF393304:TBM393304 TLB393304:TLI393304 TUX393304:TVE393304 UET393304:UFA393304 UOP393304:UOW393304 UYL393304:UYS393304 VIH393304:VIO393304 VSD393304:VSK393304 WBZ393304:WCG393304 WLV393304:WMC393304 WVR393304:WVY393304 JF458840:JM458840 TB458840:TI458840 ACX458840:ADE458840 AMT458840:ANA458840 AWP458840:AWW458840 BGL458840:BGS458840 BQH458840:BQO458840 CAD458840:CAK458840 CJZ458840:CKG458840 CTV458840:CUC458840 DDR458840:DDY458840 DNN458840:DNU458840 DXJ458840:DXQ458840 EHF458840:EHM458840 ERB458840:ERI458840 FAX458840:FBE458840 FKT458840:FLA458840 FUP458840:FUW458840 GEL458840:GES458840 GOH458840:GOO458840 GYD458840:GYK458840 HHZ458840:HIG458840 HRV458840:HSC458840 IBR458840:IBY458840 ILN458840:ILU458840 IVJ458840:IVQ458840 JFF458840:JFM458840 JPB458840:JPI458840 JYX458840:JZE458840 KIT458840:KJA458840 KSP458840:KSW458840 LCL458840:LCS458840 LMH458840:LMO458840 LWD458840:LWK458840 MFZ458840:MGG458840 MPV458840:MQC458840 MZR458840:MZY458840 NJN458840:NJU458840 NTJ458840:NTQ458840 ODF458840:ODM458840 ONB458840:ONI458840 OWX458840:OXE458840 PGT458840:PHA458840 PQP458840:PQW458840 QAL458840:QAS458840 QKH458840:QKO458840 QUD458840:QUK458840 RDZ458840:REG458840 RNV458840:ROC458840 RXR458840:RXY458840 SHN458840:SHU458840 SRJ458840:SRQ458840 TBF458840:TBM458840 TLB458840:TLI458840 TUX458840:TVE458840 UET458840:UFA458840 UOP458840:UOW458840 UYL458840:UYS458840 VIH458840:VIO458840 VSD458840:VSK458840 WBZ458840:WCG458840 WLV458840:WMC458840 WVR458840:WVY458840 JF524376:JM524376 TB524376:TI524376 ACX524376:ADE524376 AMT524376:ANA524376 AWP524376:AWW524376 BGL524376:BGS524376 BQH524376:BQO524376 CAD524376:CAK524376 CJZ524376:CKG524376 CTV524376:CUC524376 DDR524376:DDY524376 DNN524376:DNU524376 DXJ524376:DXQ524376 EHF524376:EHM524376 ERB524376:ERI524376 FAX524376:FBE524376 FKT524376:FLA524376 FUP524376:FUW524376 GEL524376:GES524376 GOH524376:GOO524376 GYD524376:GYK524376 HHZ524376:HIG524376 HRV524376:HSC524376 IBR524376:IBY524376 ILN524376:ILU524376 IVJ524376:IVQ524376 JFF524376:JFM524376 JPB524376:JPI524376 JYX524376:JZE524376 KIT524376:KJA524376 KSP524376:KSW524376 LCL524376:LCS524376 LMH524376:LMO524376 LWD524376:LWK524376 MFZ524376:MGG524376 MPV524376:MQC524376 MZR524376:MZY524376 NJN524376:NJU524376 NTJ524376:NTQ524376 ODF524376:ODM524376 ONB524376:ONI524376 OWX524376:OXE524376 PGT524376:PHA524376 PQP524376:PQW524376 QAL524376:QAS524376 QKH524376:QKO524376 QUD524376:QUK524376 RDZ524376:REG524376 RNV524376:ROC524376 RXR524376:RXY524376 SHN524376:SHU524376 SRJ524376:SRQ524376 TBF524376:TBM524376 TLB524376:TLI524376 TUX524376:TVE524376 UET524376:UFA524376 UOP524376:UOW524376 UYL524376:UYS524376 VIH524376:VIO524376 VSD524376:VSK524376 WBZ524376:WCG524376 WLV524376:WMC524376 WVR524376:WVY524376 JF589912:JM589912 TB589912:TI589912 ACX589912:ADE589912 AMT589912:ANA589912 AWP589912:AWW589912 BGL589912:BGS589912 BQH589912:BQO589912 CAD589912:CAK589912 CJZ589912:CKG589912 CTV589912:CUC589912 DDR589912:DDY589912 DNN589912:DNU589912 DXJ589912:DXQ589912 EHF589912:EHM589912 ERB589912:ERI589912 FAX589912:FBE589912 FKT589912:FLA589912 FUP589912:FUW589912 GEL589912:GES589912 GOH589912:GOO589912 GYD589912:GYK589912 HHZ589912:HIG589912 HRV589912:HSC589912 IBR589912:IBY589912 ILN589912:ILU589912 IVJ589912:IVQ589912 JFF589912:JFM589912 JPB589912:JPI589912 JYX589912:JZE589912 KIT589912:KJA589912 KSP589912:KSW589912 LCL589912:LCS589912 LMH589912:LMO589912 LWD589912:LWK589912 MFZ589912:MGG589912 MPV589912:MQC589912 MZR589912:MZY589912 NJN589912:NJU589912 NTJ589912:NTQ589912 ODF589912:ODM589912 ONB589912:ONI589912 OWX589912:OXE589912 PGT589912:PHA589912 PQP589912:PQW589912 QAL589912:QAS589912 QKH589912:QKO589912 QUD589912:QUK589912 RDZ589912:REG589912 RNV589912:ROC589912 RXR589912:RXY589912 SHN589912:SHU589912 SRJ589912:SRQ589912 TBF589912:TBM589912 TLB589912:TLI589912 TUX589912:TVE589912 UET589912:UFA589912 UOP589912:UOW589912 UYL589912:UYS589912 VIH589912:VIO589912 VSD589912:VSK589912 WBZ589912:WCG589912 WLV589912:WMC589912 WVR589912:WVY589912 JF655448:JM655448 TB655448:TI655448 ACX655448:ADE655448 AMT655448:ANA655448 AWP655448:AWW655448 BGL655448:BGS655448 BQH655448:BQO655448 CAD655448:CAK655448 CJZ655448:CKG655448 CTV655448:CUC655448 DDR655448:DDY655448 DNN655448:DNU655448 DXJ655448:DXQ655448 EHF655448:EHM655448 ERB655448:ERI655448 FAX655448:FBE655448 FKT655448:FLA655448 FUP655448:FUW655448 GEL655448:GES655448 GOH655448:GOO655448 GYD655448:GYK655448 HHZ655448:HIG655448 HRV655448:HSC655448 IBR655448:IBY655448 ILN655448:ILU655448 IVJ655448:IVQ655448 JFF655448:JFM655448 JPB655448:JPI655448 JYX655448:JZE655448 KIT655448:KJA655448 KSP655448:KSW655448 LCL655448:LCS655448 LMH655448:LMO655448 LWD655448:LWK655448 MFZ655448:MGG655448 MPV655448:MQC655448 MZR655448:MZY655448 NJN655448:NJU655448 NTJ655448:NTQ655448 ODF655448:ODM655448 ONB655448:ONI655448 OWX655448:OXE655448 PGT655448:PHA655448 PQP655448:PQW655448 QAL655448:QAS655448 QKH655448:QKO655448 QUD655448:QUK655448 RDZ655448:REG655448 RNV655448:ROC655448 RXR655448:RXY655448 SHN655448:SHU655448 SRJ655448:SRQ655448 TBF655448:TBM655448 TLB655448:TLI655448 TUX655448:TVE655448 UET655448:UFA655448 UOP655448:UOW655448 UYL655448:UYS655448 VIH655448:VIO655448 VSD655448:VSK655448 WBZ655448:WCG655448 WLV655448:WMC655448 WVR655448:WVY655448 JF720984:JM720984 TB720984:TI720984 ACX720984:ADE720984 AMT720984:ANA720984 AWP720984:AWW720984 BGL720984:BGS720984 BQH720984:BQO720984 CAD720984:CAK720984 CJZ720984:CKG720984 CTV720984:CUC720984 DDR720984:DDY720984 DNN720984:DNU720984 DXJ720984:DXQ720984 EHF720984:EHM720984 ERB720984:ERI720984 FAX720984:FBE720984 FKT720984:FLA720984 FUP720984:FUW720984 GEL720984:GES720984 GOH720984:GOO720984 GYD720984:GYK720984 HHZ720984:HIG720984 HRV720984:HSC720984 IBR720984:IBY720984 ILN720984:ILU720984 IVJ720984:IVQ720984 JFF720984:JFM720984 JPB720984:JPI720984 JYX720984:JZE720984 KIT720984:KJA720984 KSP720984:KSW720984 LCL720984:LCS720984 LMH720984:LMO720984 LWD720984:LWK720984 MFZ720984:MGG720984 MPV720984:MQC720984 MZR720984:MZY720984 NJN720984:NJU720984 NTJ720984:NTQ720984 ODF720984:ODM720984 ONB720984:ONI720984 OWX720984:OXE720984 PGT720984:PHA720984 PQP720984:PQW720984 QAL720984:QAS720984 QKH720984:QKO720984 QUD720984:QUK720984 RDZ720984:REG720984 RNV720984:ROC720984 RXR720984:RXY720984 SHN720984:SHU720984 SRJ720984:SRQ720984 TBF720984:TBM720984 TLB720984:TLI720984 TUX720984:TVE720984 UET720984:UFA720984 UOP720984:UOW720984 UYL720984:UYS720984 VIH720984:VIO720984 VSD720984:VSK720984 WBZ720984:WCG720984 WLV720984:WMC720984 WVR720984:WVY720984 JF786520:JM786520 TB786520:TI786520 ACX786520:ADE786520 AMT786520:ANA786520 AWP786520:AWW786520 BGL786520:BGS786520 BQH786520:BQO786520 CAD786520:CAK786520 CJZ786520:CKG786520 CTV786520:CUC786520 DDR786520:DDY786520 DNN786520:DNU786520 DXJ786520:DXQ786520 EHF786520:EHM786520 ERB786520:ERI786520 FAX786520:FBE786520 FKT786520:FLA786520 FUP786520:FUW786520 GEL786520:GES786520 GOH786520:GOO786520 GYD786520:GYK786520 HHZ786520:HIG786520 HRV786520:HSC786520 IBR786520:IBY786520 ILN786520:ILU786520 IVJ786520:IVQ786520 JFF786520:JFM786520 JPB786520:JPI786520 JYX786520:JZE786520 KIT786520:KJA786520 KSP786520:KSW786520 LCL786520:LCS786520 LMH786520:LMO786520 LWD786520:LWK786520 MFZ786520:MGG786520 MPV786520:MQC786520 MZR786520:MZY786520 NJN786520:NJU786520 NTJ786520:NTQ786520 ODF786520:ODM786520 ONB786520:ONI786520 OWX786520:OXE786520 PGT786520:PHA786520 PQP786520:PQW786520 QAL786520:QAS786520 QKH786520:QKO786520 QUD786520:QUK786520 RDZ786520:REG786520 RNV786520:ROC786520 RXR786520:RXY786520 SHN786520:SHU786520 SRJ786520:SRQ786520 TBF786520:TBM786520 TLB786520:TLI786520 TUX786520:TVE786520 UET786520:UFA786520 UOP786520:UOW786520 UYL786520:UYS786520 VIH786520:VIO786520 VSD786520:VSK786520 WBZ786520:WCG786520 WLV786520:WMC786520 WVR786520:WVY786520 JF852056:JM852056 TB852056:TI852056 ACX852056:ADE852056 AMT852056:ANA852056 AWP852056:AWW852056 BGL852056:BGS852056 BQH852056:BQO852056 CAD852056:CAK852056 CJZ852056:CKG852056 CTV852056:CUC852056 DDR852056:DDY852056 DNN852056:DNU852056 DXJ852056:DXQ852056 EHF852056:EHM852056 ERB852056:ERI852056 FAX852056:FBE852056 FKT852056:FLA852056 FUP852056:FUW852056 GEL852056:GES852056 GOH852056:GOO852056 GYD852056:GYK852056 HHZ852056:HIG852056 HRV852056:HSC852056 IBR852056:IBY852056 ILN852056:ILU852056 IVJ852056:IVQ852056 JFF852056:JFM852056 JPB852056:JPI852056 JYX852056:JZE852056 KIT852056:KJA852056 KSP852056:KSW852056 LCL852056:LCS852056 LMH852056:LMO852056 LWD852056:LWK852056 MFZ852056:MGG852056 MPV852056:MQC852056 MZR852056:MZY852056 NJN852056:NJU852056 NTJ852056:NTQ852056 ODF852056:ODM852056 ONB852056:ONI852056 OWX852056:OXE852056 PGT852056:PHA852056 PQP852056:PQW852056 QAL852056:QAS852056 QKH852056:QKO852056 QUD852056:QUK852056 RDZ852056:REG852056 RNV852056:ROC852056 RXR852056:RXY852056 SHN852056:SHU852056 SRJ852056:SRQ852056 TBF852056:TBM852056 TLB852056:TLI852056 TUX852056:TVE852056 UET852056:UFA852056 UOP852056:UOW852056 UYL852056:UYS852056 VIH852056:VIO852056 VSD852056:VSK852056 WBZ852056:WCG852056 WLV852056:WMC852056 WVR852056:WVY852056 JF917592:JM917592 TB917592:TI917592 ACX917592:ADE917592 AMT917592:ANA917592 AWP917592:AWW917592 BGL917592:BGS917592 BQH917592:BQO917592 CAD917592:CAK917592 CJZ917592:CKG917592 CTV917592:CUC917592 DDR917592:DDY917592 DNN917592:DNU917592 DXJ917592:DXQ917592 EHF917592:EHM917592 ERB917592:ERI917592 FAX917592:FBE917592 FKT917592:FLA917592 FUP917592:FUW917592 GEL917592:GES917592 GOH917592:GOO917592 GYD917592:GYK917592 HHZ917592:HIG917592 HRV917592:HSC917592 IBR917592:IBY917592 ILN917592:ILU917592 IVJ917592:IVQ917592 JFF917592:JFM917592 JPB917592:JPI917592 JYX917592:JZE917592 KIT917592:KJA917592 KSP917592:KSW917592 LCL917592:LCS917592 LMH917592:LMO917592 LWD917592:LWK917592 MFZ917592:MGG917592 MPV917592:MQC917592 MZR917592:MZY917592 NJN917592:NJU917592 NTJ917592:NTQ917592 ODF917592:ODM917592 ONB917592:ONI917592 OWX917592:OXE917592 PGT917592:PHA917592 PQP917592:PQW917592 QAL917592:QAS917592 QKH917592:QKO917592 QUD917592:QUK917592 RDZ917592:REG917592 RNV917592:ROC917592 RXR917592:RXY917592 SHN917592:SHU917592 SRJ917592:SRQ917592 TBF917592:TBM917592 TLB917592:TLI917592 TUX917592:TVE917592 UET917592:UFA917592 UOP917592:UOW917592 UYL917592:UYS917592 VIH917592:VIO917592 VSD917592:VSK917592 WBZ917592:WCG917592 WLV917592:WMC917592 WVR917592:WVY917592 JF983128:JM983128 TB983128:TI983128 ACX983128:ADE983128 AMT983128:ANA983128 AWP983128:AWW983128 BGL983128:BGS983128 BQH983128:BQO983128 CAD983128:CAK983128 CJZ983128:CKG983128 CTV983128:CUC983128 DDR983128:DDY983128 DNN983128:DNU983128 DXJ983128:DXQ983128 EHF983128:EHM983128 ERB983128:ERI983128 FAX983128:FBE983128 FKT983128:FLA983128 FUP983128:FUW983128 GEL983128:GES983128 GOH983128:GOO983128 GYD983128:GYK983128 HHZ983128:HIG983128 HRV983128:HSC983128 IBR983128:IBY983128 ILN983128:ILU983128 IVJ983128:IVQ983128 JFF983128:JFM983128 JPB983128:JPI983128 JYX983128:JZE983128 KIT983128:KJA983128 KSP983128:KSW983128 LCL983128:LCS983128 LMH983128:LMO983128 LWD983128:LWK983128 MFZ983128:MGG983128 MPV983128:MQC983128 MZR983128:MZY983128 NJN983128:NJU983128 NTJ983128:NTQ983128 ODF983128:ODM983128 ONB983128:ONI983128 OWX983128:OXE983128 PGT983128:PHA983128 PQP983128:PQW983128 QAL983128:QAS983128 QKH983128:QKO983128 QUD983128:QUK983128 RDZ983128:REG983128 RNV983128:ROC983128 RXR983128:RXY983128 SHN983128:SHU983128 SRJ983128:SRQ983128 TBF983128:TBM983128 TLB983128:TLI983128 TUX983128:TVE983128 UET983128:UFA983128 UOP983128:UOW983128 UYL983128:UYS983128 VIH983128:VIO983128 VSD983128:VSK983128 WBZ983128:WCG983128 WLV983128:WMC983128 WVR983128:WVY983128 JF10:JM10 TB10:TI10 ACX10:ADE10 AMT10:ANA10 AWP10:AWW10 BGL10:BGS10 BQH10:BQO10 CAD10:CAK10 CJZ10:CKG10 CTV10:CUC10 DDR10:DDY10 DNN10:DNU10 DXJ10:DXQ10 EHF10:EHM10 ERB10:ERI10 FAX10:FBE10 FKT10:FLA10 FUP10:FUW10 GEL10:GES10 GOH10:GOO10 GYD10:GYK10 HHZ10:HIG10 HRV10:HSC10 IBR10:IBY10 ILN10:ILU10 IVJ10:IVQ10 JFF10:JFM10 JPB10:JPI10 JYX10:JZE10 KIT10:KJA10 KSP10:KSW10 LCL10:LCS10 LMH10:LMO10 LWD10:LWK10 MFZ10:MGG10 MPV10:MQC10 MZR10:MZY10 NJN10:NJU10 NTJ10:NTQ10 ODF10:ODM10 ONB10:ONI10 OWX10:OXE10 PGT10:PHA10 PQP10:PQW10 QAL10:QAS10 QKH10:QKO10 QUD10:QUK10 RDZ10:REG10 RNV10:ROC10 RXR10:RXY10 SHN10:SHU10 SRJ10:SRQ10 TBF10:TBM10 TLB10:TLI10 TUX10:TVE10 UET10:UFA10 UOP10:UOW10 UYL10:UYS10 VIH10:VIO10 VSD10:VSK10 WBZ10:WCG10 WLV10:WMC10 WVR10:WVY10 JF65546:JM65546 TB65546:TI65546 ACX65546:ADE65546 AMT65546:ANA65546 AWP65546:AWW65546 BGL65546:BGS65546 BQH65546:BQO65546 CAD65546:CAK65546 CJZ65546:CKG65546 CTV65546:CUC65546 DDR65546:DDY65546 DNN65546:DNU65546 DXJ65546:DXQ65546 EHF65546:EHM65546 ERB65546:ERI65546 FAX65546:FBE65546 FKT65546:FLA65546 FUP65546:FUW65546 GEL65546:GES65546 GOH65546:GOO65546 GYD65546:GYK65546 HHZ65546:HIG65546 HRV65546:HSC65546 IBR65546:IBY65546 ILN65546:ILU65546 IVJ65546:IVQ65546 JFF65546:JFM65546 JPB65546:JPI65546 JYX65546:JZE65546 KIT65546:KJA65546 KSP65546:KSW65546 LCL65546:LCS65546 LMH65546:LMO65546 LWD65546:LWK65546 MFZ65546:MGG65546 MPV65546:MQC65546 MZR65546:MZY65546 NJN65546:NJU65546 NTJ65546:NTQ65546 ODF65546:ODM65546 ONB65546:ONI65546 OWX65546:OXE65546 PGT65546:PHA65546 PQP65546:PQW65546 QAL65546:QAS65546 QKH65546:QKO65546 QUD65546:QUK65546 RDZ65546:REG65546 RNV65546:ROC65546 RXR65546:RXY65546 SHN65546:SHU65546 SRJ65546:SRQ65546 TBF65546:TBM65546 TLB65546:TLI65546 TUX65546:TVE65546 UET65546:UFA65546 UOP65546:UOW65546 UYL65546:UYS65546 VIH65546:VIO65546 VSD65546:VSK65546 WBZ65546:WCG65546 WLV65546:WMC65546 WVR65546:WVY65546 JF131082:JM131082 TB131082:TI131082 ACX131082:ADE131082 AMT131082:ANA131082 AWP131082:AWW131082 BGL131082:BGS131082 BQH131082:BQO131082 CAD131082:CAK131082 CJZ131082:CKG131082 CTV131082:CUC131082 DDR131082:DDY131082 DNN131082:DNU131082 DXJ131082:DXQ131082 EHF131082:EHM131082 ERB131082:ERI131082 FAX131082:FBE131082 FKT131082:FLA131082 FUP131082:FUW131082 GEL131082:GES131082 GOH131082:GOO131082 GYD131082:GYK131082 HHZ131082:HIG131082 HRV131082:HSC131082 IBR131082:IBY131082 ILN131082:ILU131082 IVJ131082:IVQ131082 JFF131082:JFM131082 JPB131082:JPI131082 JYX131082:JZE131082 KIT131082:KJA131082 KSP131082:KSW131082 LCL131082:LCS131082 LMH131082:LMO131082 LWD131082:LWK131082 MFZ131082:MGG131082 MPV131082:MQC131082 MZR131082:MZY131082 NJN131082:NJU131082 NTJ131082:NTQ131082 ODF131082:ODM131082 ONB131082:ONI131082 OWX131082:OXE131082 PGT131082:PHA131082 PQP131082:PQW131082 QAL131082:QAS131082 QKH131082:QKO131082 QUD131082:QUK131082 RDZ131082:REG131082 RNV131082:ROC131082 RXR131082:RXY131082 SHN131082:SHU131082 SRJ131082:SRQ131082 TBF131082:TBM131082 TLB131082:TLI131082 TUX131082:TVE131082 UET131082:UFA131082 UOP131082:UOW131082 UYL131082:UYS131082 VIH131082:VIO131082 VSD131082:VSK131082 WBZ131082:WCG131082 WLV131082:WMC131082 WVR131082:WVY131082 JF196618:JM196618 TB196618:TI196618 ACX196618:ADE196618 AMT196618:ANA196618 AWP196618:AWW196618 BGL196618:BGS196618 BQH196618:BQO196618 CAD196618:CAK196618 CJZ196618:CKG196618 CTV196618:CUC196618 DDR196618:DDY196618 DNN196618:DNU196618 DXJ196618:DXQ196618 EHF196618:EHM196618 ERB196618:ERI196618 FAX196618:FBE196618 FKT196618:FLA196618 FUP196618:FUW196618 GEL196618:GES196618 GOH196618:GOO196618 GYD196618:GYK196618 HHZ196618:HIG196618 HRV196618:HSC196618 IBR196618:IBY196618 ILN196618:ILU196618 IVJ196618:IVQ196618 JFF196618:JFM196618 JPB196618:JPI196618 JYX196618:JZE196618 KIT196618:KJA196618 KSP196618:KSW196618 LCL196618:LCS196618 LMH196618:LMO196618 LWD196618:LWK196618 MFZ196618:MGG196618 MPV196618:MQC196618 MZR196618:MZY196618 NJN196618:NJU196618 NTJ196618:NTQ196618 ODF196618:ODM196618 ONB196618:ONI196618 OWX196618:OXE196618 PGT196618:PHA196618 PQP196618:PQW196618 QAL196618:QAS196618 QKH196618:QKO196618 QUD196618:QUK196618 RDZ196618:REG196618 RNV196618:ROC196618 RXR196618:RXY196618 SHN196618:SHU196618 SRJ196618:SRQ196618 TBF196618:TBM196618 TLB196618:TLI196618 TUX196618:TVE196618 UET196618:UFA196618 UOP196618:UOW196618 UYL196618:UYS196618 VIH196618:VIO196618 VSD196618:VSK196618 WBZ196618:WCG196618 WLV196618:WMC196618 WVR196618:WVY196618 JF262154:JM262154 TB262154:TI262154 ACX262154:ADE262154 AMT262154:ANA262154 AWP262154:AWW262154 BGL262154:BGS262154 BQH262154:BQO262154 CAD262154:CAK262154 CJZ262154:CKG262154 CTV262154:CUC262154 DDR262154:DDY262154 DNN262154:DNU262154 DXJ262154:DXQ262154 EHF262154:EHM262154 ERB262154:ERI262154 FAX262154:FBE262154 FKT262154:FLA262154 FUP262154:FUW262154 GEL262154:GES262154 GOH262154:GOO262154 GYD262154:GYK262154 HHZ262154:HIG262154 HRV262154:HSC262154 IBR262154:IBY262154 ILN262154:ILU262154 IVJ262154:IVQ262154 JFF262154:JFM262154 JPB262154:JPI262154 JYX262154:JZE262154 KIT262154:KJA262154 KSP262154:KSW262154 LCL262154:LCS262154 LMH262154:LMO262154 LWD262154:LWK262154 MFZ262154:MGG262154 MPV262154:MQC262154 MZR262154:MZY262154 NJN262154:NJU262154 NTJ262154:NTQ262154 ODF262154:ODM262154 ONB262154:ONI262154 OWX262154:OXE262154 PGT262154:PHA262154 PQP262154:PQW262154 QAL262154:QAS262154 QKH262154:QKO262154 QUD262154:QUK262154 RDZ262154:REG262154 RNV262154:ROC262154 RXR262154:RXY262154 SHN262154:SHU262154 SRJ262154:SRQ262154 TBF262154:TBM262154 TLB262154:TLI262154 TUX262154:TVE262154 UET262154:UFA262154 UOP262154:UOW262154 UYL262154:UYS262154 VIH262154:VIO262154 VSD262154:VSK262154 WBZ262154:WCG262154 WLV262154:WMC262154 WVR262154:WVY262154 JF327690:JM327690 TB327690:TI327690 ACX327690:ADE327690 AMT327690:ANA327690 AWP327690:AWW327690 BGL327690:BGS327690 BQH327690:BQO327690 CAD327690:CAK327690 CJZ327690:CKG327690 CTV327690:CUC327690 DDR327690:DDY327690 DNN327690:DNU327690 DXJ327690:DXQ327690 EHF327690:EHM327690 ERB327690:ERI327690 FAX327690:FBE327690 FKT327690:FLA327690 FUP327690:FUW327690 GEL327690:GES327690 GOH327690:GOO327690 GYD327690:GYK327690 HHZ327690:HIG327690 HRV327690:HSC327690 IBR327690:IBY327690 ILN327690:ILU327690 IVJ327690:IVQ327690 JFF327690:JFM327690 JPB327690:JPI327690 JYX327690:JZE327690 KIT327690:KJA327690 KSP327690:KSW327690 LCL327690:LCS327690 LMH327690:LMO327690 LWD327690:LWK327690 MFZ327690:MGG327690 MPV327690:MQC327690 MZR327690:MZY327690 NJN327690:NJU327690 NTJ327690:NTQ327690 ODF327690:ODM327690 ONB327690:ONI327690 OWX327690:OXE327690 PGT327690:PHA327690 PQP327690:PQW327690 QAL327690:QAS327690 QKH327690:QKO327690 QUD327690:QUK327690 RDZ327690:REG327690 RNV327690:ROC327690 RXR327690:RXY327690 SHN327690:SHU327690 SRJ327690:SRQ327690 TBF327690:TBM327690 TLB327690:TLI327690 TUX327690:TVE327690 UET327690:UFA327690 UOP327690:UOW327690 UYL327690:UYS327690 VIH327690:VIO327690 VSD327690:VSK327690 WBZ327690:WCG327690 WLV327690:WMC327690 WVR327690:WVY327690 JF393226:JM393226 TB393226:TI393226 ACX393226:ADE393226 AMT393226:ANA393226 AWP393226:AWW393226 BGL393226:BGS393226 BQH393226:BQO393226 CAD393226:CAK393226 CJZ393226:CKG393226 CTV393226:CUC393226 DDR393226:DDY393226 DNN393226:DNU393226 DXJ393226:DXQ393226 EHF393226:EHM393226 ERB393226:ERI393226 FAX393226:FBE393226 FKT393226:FLA393226 FUP393226:FUW393226 GEL393226:GES393226 GOH393226:GOO393226 GYD393226:GYK393226 HHZ393226:HIG393226 HRV393226:HSC393226 IBR393226:IBY393226 ILN393226:ILU393226 IVJ393226:IVQ393226 JFF393226:JFM393226 JPB393226:JPI393226 JYX393226:JZE393226 KIT393226:KJA393226 KSP393226:KSW393226 LCL393226:LCS393226 LMH393226:LMO393226 LWD393226:LWK393226 MFZ393226:MGG393226 MPV393226:MQC393226 MZR393226:MZY393226 NJN393226:NJU393226 NTJ393226:NTQ393226 ODF393226:ODM393226 ONB393226:ONI393226 OWX393226:OXE393226 PGT393226:PHA393226 PQP393226:PQW393226 QAL393226:QAS393226 QKH393226:QKO393226 QUD393226:QUK393226 RDZ393226:REG393226 RNV393226:ROC393226 RXR393226:RXY393226 SHN393226:SHU393226 SRJ393226:SRQ393226 TBF393226:TBM393226 TLB393226:TLI393226 TUX393226:TVE393226 UET393226:UFA393226 UOP393226:UOW393226 UYL393226:UYS393226 VIH393226:VIO393226 VSD393226:VSK393226 WBZ393226:WCG393226 WLV393226:WMC393226 WVR393226:WVY393226 JF458762:JM458762 TB458762:TI458762 ACX458762:ADE458762 AMT458762:ANA458762 AWP458762:AWW458762 BGL458762:BGS458762 BQH458762:BQO458762 CAD458762:CAK458762 CJZ458762:CKG458762 CTV458762:CUC458762 DDR458762:DDY458762 DNN458762:DNU458762 DXJ458762:DXQ458762 EHF458762:EHM458762 ERB458762:ERI458762 FAX458762:FBE458762 FKT458762:FLA458762 FUP458762:FUW458762 GEL458762:GES458762 GOH458762:GOO458762 GYD458762:GYK458762 HHZ458762:HIG458762 HRV458762:HSC458762 IBR458762:IBY458762 ILN458762:ILU458762 IVJ458762:IVQ458762 JFF458762:JFM458762 JPB458762:JPI458762 JYX458762:JZE458762 KIT458762:KJA458762 KSP458762:KSW458762 LCL458762:LCS458762 LMH458762:LMO458762 LWD458762:LWK458762 MFZ458762:MGG458762 MPV458762:MQC458762 MZR458762:MZY458762 NJN458762:NJU458762 NTJ458762:NTQ458762 ODF458762:ODM458762 ONB458762:ONI458762 OWX458762:OXE458762 PGT458762:PHA458762 PQP458762:PQW458762 QAL458762:QAS458762 QKH458762:QKO458762 QUD458762:QUK458762 RDZ458762:REG458762 RNV458762:ROC458762 RXR458762:RXY458762 SHN458762:SHU458762 SRJ458762:SRQ458762 TBF458762:TBM458762 TLB458762:TLI458762 TUX458762:TVE458762 UET458762:UFA458762 UOP458762:UOW458762 UYL458762:UYS458762 VIH458762:VIO458762 VSD458762:VSK458762 WBZ458762:WCG458762 WLV458762:WMC458762 WVR458762:WVY458762 JF524298:JM524298 TB524298:TI524298 ACX524298:ADE524298 AMT524298:ANA524298 AWP524298:AWW524298 BGL524298:BGS524298 BQH524298:BQO524298 CAD524298:CAK524298 CJZ524298:CKG524298 CTV524298:CUC524298 DDR524298:DDY524298 DNN524298:DNU524298 DXJ524298:DXQ524298 EHF524298:EHM524298 ERB524298:ERI524298 FAX524298:FBE524298 FKT524298:FLA524298 FUP524298:FUW524298 GEL524298:GES524298 GOH524298:GOO524298 GYD524298:GYK524298 HHZ524298:HIG524298 HRV524298:HSC524298 IBR524298:IBY524298 ILN524298:ILU524298 IVJ524298:IVQ524298 JFF524298:JFM524298 JPB524298:JPI524298 JYX524298:JZE524298 KIT524298:KJA524298 KSP524298:KSW524298 LCL524298:LCS524298 LMH524298:LMO524298 LWD524298:LWK524298 MFZ524298:MGG524298 MPV524298:MQC524298 MZR524298:MZY524298 NJN524298:NJU524298 NTJ524298:NTQ524298 ODF524298:ODM524298 ONB524298:ONI524298 OWX524298:OXE524298 PGT524298:PHA524298 PQP524298:PQW524298 QAL524298:QAS524298 QKH524298:QKO524298 QUD524298:QUK524298 RDZ524298:REG524298 RNV524298:ROC524298 RXR524298:RXY524298 SHN524298:SHU524298 SRJ524298:SRQ524298 TBF524298:TBM524298 TLB524298:TLI524298 TUX524298:TVE524298 UET524298:UFA524298 UOP524298:UOW524298 UYL524298:UYS524298 VIH524298:VIO524298 VSD524298:VSK524298 WBZ524298:WCG524298 WLV524298:WMC524298 WVR524298:WVY524298 JF589834:JM589834 TB589834:TI589834 ACX589834:ADE589834 AMT589834:ANA589834 AWP589834:AWW589834 BGL589834:BGS589834 BQH589834:BQO589834 CAD589834:CAK589834 CJZ589834:CKG589834 CTV589834:CUC589834 DDR589834:DDY589834 DNN589834:DNU589834 DXJ589834:DXQ589834 EHF589834:EHM589834 ERB589834:ERI589834 FAX589834:FBE589834 FKT589834:FLA589834 FUP589834:FUW589834 GEL589834:GES589834 GOH589834:GOO589834 GYD589834:GYK589834 HHZ589834:HIG589834 HRV589834:HSC589834 IBR589834:IBY589834 ILN589834:ILU589834 IVJ589834:IVQ589834 JFF589834:JFM589834 JPB589834:JPI589834 JYX589834:JZE589834 KIT589834:KJA589834 KSP589834:KSW589834 LCL589834:LCS589834 LMH589834:LMO589834 LWD589834:LWK589834 MFZ589834:MGG589834 MPV589834:MQC589834 MZR589834:MZY589834 NJN589834:NJU589834 NTJ589834:NTQ589834 ODF589834:ODM589834 ONB589834:ONI589834 OWX589834:OXE589834 PGT589834:PHA589834 PQP589834:PQW589834 QAL589834:QAS589834 QKH589834:QKO589834 QUD589834:QUK589834 RDZ589834:REG589834 RNV589834:ROC589834 RXR589834:RXY589834 SHN589834:SHU589834 SRJ589834:SRQ589834 TBF589834:TBM589834 TLB589834:TLI589834 TUX589834:TVE589834 UET589834:UFA589834 UOP589834:UOW589834 UYL589834:UYS589834 VIH589834:VIO589834 VSD589834:VSK589834 WBZ589834:WCG589834 WLV589834:WMC589834 WVR589834:WVY589834 JF655370:JM655370 TB655370:TI655370 ACX655370:ADE655370 AMT655370:ANA655370 AWP655370:AWW655370 BGL655370:BGS655370 BQH655370:BQO655370 CAD655370:CAK655370 CJZ655370:CKG655370 CTV655370:CUC655370 DDR655370:DDY655370 DNN655370:DNU655370 DXJ655370:DXQ655370 EHF655370:EHM655370 ERB655370:ERI655370 FAX655370:FBE655370 FKT655370:FLA655370 FUP655370:FUW655370 GEL655370:GES655370 GOH655370:GOO655370 GYD655370:GYK655370 HHZ655370:HIG655370 HRV655370:HSC655370 IBR655370:IBY655370 ILN655370:ILU655370 IVJ655370:IVQ655370 JFF655370:JFM655370 JPB655370:JPI655370 JYX655370:JZE655370 KIT655370:KJA655370 KSP655370:KSW655370 LCL655370:LCS655370 LMH655370:LMO655370 LWD655370:LWK655370 MFZ655370:MGG655370 MPV655370:MQC655370 MZR655370:MZY655370 NJN655370:NJU655370 NTJ655370:NTQ655370 ODF655370:ODM655370 ONB655370:ONI655370 OWX655370:OXE655370 PGT655370:PHA655370 PQP655370:PQW655370 QAL655370:QAS655370 QKH655370:QKO655370 QUD655370:QUK655370 RDZ655370:REG655370 RNV655370:ROC655370 RXR655370:RXY655370 SHN655370:SHU655370 SRJ655370:SRQ655370 TBF655370:TBM655370 TLB655370:TLI655370 TUX655370:TVE655370 UET655370:UFA655370 UOP655370:UOW655370 UYL655370:UYS655370 VIH655370:VIO655370 VSD655370:VSK655370 WBZ655370:WCG655370 WLV655370:WMC655370 WVR655370:WVY655370 JF720906:JM720906 TB720906:TI720906 ACX720906:ADE720906 AMT720906:ANA720906 AWP720906:AWW720906 BGL720906:BGS720906 BQH720906:BQO720906 CAD720906:CAK720906 CJZ720906:CKG720906 CTV720906:CUC720906 DDR720906:DDY720906 DNN720906:DNU720906 DXJ720906:DXQ720906 EHF720906:EHM720906 ERB720906:ERI720906 FAX720906:FBE720906 FKT720906:FLA720906 FUP720906:FUW720906 GEL720906:GES720906 GOH720906:GOO720906 GYD720906:GYK720906 HHZ720906:HIG720906 HRV720906:HSC720906 IBR720906:IBY720906 ILN720906:ILU720906 IVJ720906:IVQ720906 JFF720906:JFM720906 JPB720906:JPI720906 JYX720906:JZE720906 KIT720906:KJA720906 KSP720906:KSW720906 LCL720906:LCS720906 LMH720906:LMO720906 LWD720906:LWK720906 MFZ720906:MGG720906 MPV720906:MQC720906 MZR720906:MZY720906 NJN720906:NJU720906 NTJ720906:NTQ720906 ODF720906:ODM720906 ONB720906:ONI720906 OWX720906:OXE720906 PGT720906:PHA720906 PQP720906:PQW720906 QAL720906:QAS720906 QKH720906:QKO720906 QUD720906:QUK720906 RDZ720906:REG720906 RNV720906:ROC720906 RXR720906:RXY720906 SHN720906:SHU720906 SRJ720906:SRQ720906 TBF720906:TBM720906 TLB720906:TLI720906 TUX720906:TVE720906 UET720906:UFA720906 UOP720906:UOW720906 UYL720906:UYS720906 VIH720906:VIO720906 VSD720906:VSK720906 WBZ720906:WCG720906 WLV720906:WMC720906 WVR720906:WVY720906 JF786442:JM786442 TB786442:TI786442 ACX786442:ADE786442 AMT786442:ANA786442 AWP786442:AWW786442 BGL786442:BGS786442 BQH786442:BQO786442 CAD786442:CAK786442 CJZ786442:CKG786442 CTV786442:CUC786442 DDR786442:DDY786442 DNN786442:DNU786442 DXJ786442:DXQ786442 EHF786442:EHM786442 ERB786442:ERI786442 FAX786442:FBE786442 FKT786442:FLA786442 FUP786442:FUW786442 GEL786442:GES786442 GOH786442:GOO786442 GYD786442:GYK786442 HHZ786442:HIG786442 HRV786442:HSC786442 IBR786442:IBY786442 ILN786442:ILU786442 IVJ786442:IVQ786442 JFF786442:JFM786442 JPB786442:JPI786442 JYX786442:JZE786442 KIT786442:KJA786442 KSP786442:KSW786442 LCL786442:LCS786442 LMH786442:LMO786442 LWD786442:LWK786442 MFZ786442:MGG786442 MPV786442:MQC786442 MZR786442:MZY786442 NJN786442:NJU786442 NTJ786442:NTQ786442 ODF786442:ODM786442 ONB786442:ONI786442 OWX786442:OXE786442 PGT786442:PHA786442 PQP786442:PQW786442 QAL786442:QAS786442 QKH786442:QKO786442 QUD786442:QUK786442 RDZ786442:REG786442 RNV786442:ROC786442 RXR786442:RXY786442 SHN786442:SHU786442 SRJ786442:SRQ786442 TBF786442:TBM786442 TLB786442:TLI786442 TUX786442:TVE786442 UET786442:UFA786442 UOP786442:UOW786442 UYL786442:UYS786442 VIH786442:VIO786442 VSD786442:VSK786442 WBZ786442:WCG786442 WLV786442:WMC786442 WVR786442:WVY786442 JF851978:JM851978 TB851978:TI851978 ACX851978:ADE851978 AMT851978:ANA851978 AWP851978:AWW851978 BGL851978:BGS851978 BQH851978:BQO851978 CAD851978:CAK851978 CJZ851978:CKG851978 CTV851978:CUC851978 DDR851978:DDY851978 DNN851978:DNU851978 DXJ851978:DXQ851978 EHF851978:EHM851978 ERB851978:ERI851978 FAX851978:FBE851978 FKT851978:FLA851978 FUP851978:FUW851978 GEL851978:GES851978 GOH851978:GOO851978 GYD851978:GYK851978 HHZ851978:HIG851978 HRV851978:HSC851978 IBR851978:IBY851978 ILN851978:ILU851978 IVJ851978:IVQ851978 JFF851978:JFM851978 JPB851978:JPI851978 JYX851978:JZE851978 KIT851978:KJA851978 KSP851978:KSW851978 LCL851978:LCS851978 LMH851978:LMO851978 LWD851978:LWK851978 MFZ851978:MGG851978 MPV851978:MQC851978 MZR851978:MZY851978 NJN851978:NJU851978 NTJ851978:NTQ851978 ODF851978:ODM851978 ONB851978:ONI851978 OWX851978:OXE851978 PGT851978:PHA851978 PQP851978:PQW851978 QAL851978:QAS851978 QKH851978:QKO851978 QUD851978:QUK851978 RDZ851978:REG851978 RNV851978:ROC851978 RXR851978:RXY851978 SHN851978:SHU851978 SRJ851978:SRQ851978 TBF851978:TBM851978 TLB851978:TLI851978 TUX851978:TVE851978 UET851978:UFA851978 UOP851978:UOW851978 UYL851978:UYS851978 VIH851978:VIO851978 VSD851978:VSK851978 WBZ851978:WCG851978 WLV851978:WMC851978 WVR851978:WVY851978 JF917514:JM917514 TB917514:TI917514 ACX917514:ADE917514 AMT917514:ANA917514 AWP917514:AWW917514 BGL917514:BGS917514 BQH917514:BQO917514 CAD917514:CAK917514 CJZ917514:CKG917514 CTV917514:CUC917514 DDR917514:DDY917514 DNN917514:DNU917514 DXJ917514:DXQ917514 EHF917514:EHM917514 ERB917514:ERI917514 FAX917514:FBE917514 FKT917514:FLA917514 FUP917514:FUW917514 GEL917514:GES917514 GOH917514:GOO917514 GYD917514:GYK917514 HHZ917514:HIG917514 HRV917514:HSC917514 IBR917514:IBY917514 ILN917514:ILU917514 IVJ917514:IVQ917514 JFF917514:JFM917514 JPB917514:JPI917514 JYX917514:JZE917514 KIT917514:KJA917514 KSP917514:KSW917514 LCL917514:LCS917514 LMH917514:LMO917514 LWD917514:LWK917514 MFZ917514:MGG917514 MPV917514:MQC917514 MZR917514:MZY917514 NJN917514:NJU917514 NTJ917514:NTQ917514 ODF917514:ODM917514 ONB917514:ONI917514 OWX917514:OXE917514 PGT917514:PHA917514 PQP917514:PQW917514 QAL917514:QAS917514 QKH917514:QKO917514 QUD917514:QUK917514 RDZ917514:REG917514 RNV917514:ROC917514 RXR917514:RXY917514 SHN917514:SHU917514 SRJ917514:SRQ917514 TBF917514:TBM917514 TLB917514:TLI917514 TUX917514:TVE917514 UET917514:UFA917514 UOP917514:UOW917514 UYL917514:UYS917514 VIH917514:VIO917514 VSD917514:VSK917514 WBZ917514:WCG917514 WLV917514:WMC917514 WVR917514:WVY917514 WVR983050:WVY983050 JF983050:JM983050 TB983050:TI983050 ACX983050:ADE983050 AMT983050:ANA983050 AWP983050:AWW983050 BGL983050:BGS983050 BQH983050:BQO983050 CAD983050:CAK983050 CJZ983050:CKG983050 CTV983050:CUC983050 DDR983050:DDY983050 DNN983050:DNU983050 DXJ983050:DXQ983050 EHF983050:EHM983050 ERB983050:ERI983050 FAX983050:FBE983050 FKT983050:FLA983050 FUP983050:FUW983050 GEL983050:GES983050 GOH983050:GOO983050 GYD983050:GYK983050 HHZ983050:HIG983050 HRV983050:HSC983050 IBR983050:IBY983050 ILN983050:ILU983050 IVJ983050:IVQ983050 JFF983050:JFM983050 JPB983050:JPI983050 JYX983050:JZE983050 KIT983050:KJA983050 KSP983050:KSW983050 LCL983050:LCS983050 LMH983050:LMO983050 LWD983050:LWK983050 MFZ983050:MGG983050 MPV983050:MQC983050 MZR983050:MZY983050 NJN983050:NJU983050 NTJ983050:NTQ983050 ODF983050:ODM983050 ONB983050:ONI983050 OWX983050:OXE983050 PGT983050:PHA983050 PQP983050:PQW983050 QAL983050:QAS983050 QKH983050:QKO983050 QUD983050:QUK983050 RDZ983050:REG983050 RNV983050:ROC983050 RXR983050:RXY983050 SHN983050:SHU983050 SRJ983050:SRQ983050 TBF983050:TBM983050 TLB983050:TLI983050 TUX983050:TVE983050 UET983050:UFA983050 UOP983050:UOW983050 UYL983050:UYS983050 VIH983050:VIO983050 VSD983050:VSK983050 WBZ983050:WCG983050 WLV983050:WMC983050 G983050:Q983050 G917514:Q917514 G851978:Q851978 G786442:Q786442 G720906:Q720906 G655370:Q655370 G589834:Q589834 G524298:Q524298 G458762:Q458762 G393226:Q393226 G327690:Q327690 G262154:Q262154 G196618:Q196618 G131082:Q131082 G65546:Q65546 G10:Q10 G983128:Q983128 G917592:Q917592 G852056:Q852056 G786520:Q786520 G720984:Q720984 G655448:Q655448 G589912:Q589912 G524376:Q524376 G458840:Q458840 G393304:Q393304 G327768:Q327768 G262232:Q262232 G196696:Q196696 G131160:Q131160 G65624:Q65624 G88:Q88 G983344:Q983344 G917808:Q917808 G852272:Q852272 G786736:Q786736 G721200:Q721200 G655664:Q655664 G590128:Q590128 G524592:Q524592 G459056:Q459056 G393520:Q393520 G327984:Q327984 G262448:Q262448 G196912:Q196912 G131376:Q131376 G65840:Q65840 G304:Q304" xr:uid="{00000000-0002-0000-0200-000002000000}">
      <formula1>"積上げ,積上げ・率処理併用"</formula1>
    </dataValidation>
    <dataValidation type="list" allowBlank="1" showInputMessage="1" showErrorMessage="1" sqref="E86:E87 JD86:JD87 SZ86:SZ87 ACV86:ACV87 AMR86:AMR87 AWN86:AWN87 BGJ86:BGJ87 BQF86:BQF87 CAB86:CAB87 CJX86:CJX87 CTT86:CTT87 DDP86:DDP87 DNL86:DNL87 DXH86:DXH87 EHD86:EHD87 EQZ86:EQZ87 FAV86:FAV87 FKR86:FKR87 FUN86:FUN87 GEJ86:GEJ87 GOF86:GOF87 GYB86:GYB87 HHX86:HHX87 HRT86:HRT87 IBP86:IBP87 ILL86:ILL87 IVH86:IVH87 JFD86:JFD87 JOZ86:JOZ87 JYV86:JYV87 KIR86:KIR87 KSN86:KSN87 LCJ86:LCJ87 LMF86:LMF87 LWB86:LWB87 MFX86:MFX87 MPT86:MPT87 MZP86:MZP87 NJL86:NJL87 NTH86:NTH87 ODD86:ODD87 OMZ86:OMZ87 OWV86:OWV87 PGR86:PGR87 PQN86:PQN87 QAJ86:QAJ87 QKF86:QKF87 QUB86:QUB87 RDX86:RDX87 RNT86:RNT87 RXP86:RXP87 SHL86:SHL87 SRH86:SRH87 TBD86:TBD87 TKZ86:TKZ87 TUV86:TUV87 UER86:UER87 UON86:UON87 UYJ86:UYJ87 VIF86:VIF87 VSB86:VSB87 WBX86:WBX87 WLT86:WLT87 WVP86:WVP87 E65622:E65623 JD65622:JD65623 SZ65622:SZ65623 ACV65622:ACV65623 AMR65622:AMR65623 AWN65622:AWN65623 BGJ65622:BGJ65623 BQF65622:BQF65623 CAB65622:CAB65623 CJX65622:CJX65623 CTT65622:CTT65623 DDP65622:DDP65623 DNL65622:DNL65623 DXH65622:DXH65623 EHD65622:EHD65623 EQZ65622:EQZ65623 FAV65622:FAV65623 FKR65622:FKR65623 FUN65622:FUN65623 GEJ65622:GEJ65623 GOF65622:GOF65623 GYB65622:GYB65623 HHX65622:HHX65623 HRT65622:HRT65623 IBP65622:IBP65623 ILL65622:ILL65623 IVH65622:IVH65623 JFD65622:JFD65623 JOZ65622:JOZ65623 JYV65622:JYV65623 KIR65622:KIR65623 KSN65622:KSN65623 LCJ65622:LCJ65623 LMF65622:LMF65623 LWB65622:LWB65623 MFX65622:MFX65623 MPT65622:MPT65623 MZP65622:MZP65623 NJL65622:NJL65623 NTH65622:NTH65623 ODD65622:ODD65623 OMZ65622:OMZ65623 OWV65622:OWV65623 PGR65622:PGR65623 PQN65622:PQN65623 QAJ65622:QAJ65623 QKF65622:QKF65623 QUB65622:QUB65623 RDX65622:RDX65623 RNT65622:RNT65623 RXP65622:RXP65623 SHL65622:SHL65623 SRH65622:SRH65623 TBD65622:TBD65623 TKZ65622:TKZ65623 TUV65622:TUV65623 UER65622:UER65623 UON65622:UON65623 UYJ65622:UYJ65623 VIF65622:VIF65623 VSB65622:VSB65623 WBX65622:WBX65623 WLT65622:WLT65623 WVP65622:WVP65623 E131158:E131159 JD131158:JD131159 SZ131158:SZ131159 ACV131158:ACV131159 AMR131158:AMR131159 AWN131158:AWN131159 BGJ131158:BGJ131159 BQF131158:BQF131159 CAB131158:CAB131159 CJX131158:CJX131159 CTT131158:CTT131159 DDP131158:DDP131159 DNL131158:DNL131159 DXH131158:DXH131159 EHD131158:EHD131159 EQZ131158:EQZ131159 FAV131158:FAV131159 FKR131158:FKR131159 FUN131158:FUN131159 GEJ131158:GEJ131159 GOF131158:GOF131159 GYB131158:GYB131159 HHX131158:HHX131159 HRT131158:HRT131159 IBP131158:IBP131159 ILL131158:ILL131159 IVH131158:IVH131159 JFD131158:JFD131159 JOZ131158:JOZ131159 JYV131158:JYV131159 KIR131158:KIR131159 KSN131158:KSN131159 LCJ131158:LCJ131159 LMF131158:LMF131159 LWB131158:LWB131159 MFX131158:MFX131159 MPT131158:MPT131159 MZP131158:MZP131159 NJL131158:NJL131159 NTH131158:NTH131159 ODD131158:ODD131159 OMZ131158:OMZ131159 OWV131158:OWV131159 PGR131158:PGR131159 PQN131158:PQN131159 QAJ131158:QAJ131159 QKF131158:QKF131159 QUB131158:QUB131159 RDX131158:RDX131159 RNT131158:RNT131159 RXP131158:RXP131159 SHL131158:SHL131159 SRH131158:SRH131159 TBD131158:TBD131159 TKZ131158:TKZ131159 TUV131158:TUV131159 UER131158:UER131159 UON131158:UON131159 UYJ131158:UYJ131159 VIF131158:VIF131159 VSB131158:VSB131159 WBX131158:WBX131159 WLT131158:WLT131159 WVP131158:WVP131159 E196694:E196695 JD196694:JD196695 SZ196694:SZ196695 ACV196694:ACV196695 AMR196694:AMR196695 AWN196694:AWN196695 BGJ196694:BGJ196695 BQF196694:BQF196695 CAB196694:CAB196695 CJX196694:CJX196695 CTT196694:CTT196695 DDP196694:DDP196695 DNL196694:DNL196695 DXH196694:DXH196695 EHD196694:EHD196695 EQZ196694:EQZ196695 FAV196694:FAV196695 FKR196694:FKR196695 FUN196694:FUN196695 GEJ196694:GEJ196695 GOF196694:GOF196695 GYB196694:GYB196695 HHX196694:HHX196695 HRT196694:HRT196695 IBP196694:IBP196695 ILL196694:ILL196695 IVH196694:IVH196695 JFD196694:JFD196695 JOZ196694:JOZ196695 JYV196694:JYV196695 KIR196694:KIR196695 KSN196694:KSN196695 LCJ196694:LCJ196695 LMF196694:LMF196695 LWB196694:LWB196695 MFX196694:MFX196695 MPT196694:MPT196695 MZP196694:MZP196695 NJL196694:NJL196695 NTH196694:NTH196695 ODD196694:ODD196695 OMZ196694:OMZ196695 OWV196694:OWV196695 PGR196694:PGR196695 PQN196694:PQN196695 QAJ196694:QAJ196695 QKF196694:QKF196695 QUB196694:QUB196695 RDX196694:RDX196695 RNT196694:RNT196695 RXP196694:RXP196695 SHL196694:SHL196695 SRH196694:SRH196695 TBD196694:TBD196695 TKZ196694:TKZ196695 TUV196694:TUV196695 UER196694:UER196695 UON196694:UON196695 UYJ196694:UYJ196695 VIF196694:VIF196695 VSB196694:VSB196695 WBX196694:WBX196695 WLT196694:WLT196695 WVP196694:WVP196695 E262230:E262231 JD262230:JD262231 SZ262230:SZ262231 ACV262230:ACV262231 AMR262230:AMR262231 AWN262230:AWN262231 BGJ262230:BGJ262231 BQF262230:BQF262231 CAB262230:CAB262231 CJX262230:CJX262231 CTT262230:CTT262231 DDP262230:DDP262231 DNL262230:DNL262231 DXH262230:DXH262231 EHD262230:EHD262231 EQZ262230:EQZ262231 FAV262230:FAV262231 FKR262230:FKR262231 FUN262230:FUN262231 GEJ262230:GEJ262231 GOF262230:GOF262231 GYB262230:GYB262231 HHX262230:HHX262231 HRT262230:HRT262231 IBP262230:IBP262231 ILL262230:ILL262231 IVH262230:IVH262231 JFD262230:JFD262231 JOZ262230:JOZ262231 JYV262230:JYV262231 KIR262230:KIR262231 KSN262230:KSN262231 LCJ262230:LCJ262231 LMF262230:LMF262231 LWB262230:LWB262231 MFX262230:MFX262231 MPT262230:MPT262231 MZP262230:MZP262231 NJL262230:NJL262231 NTH262230:NTH262231 ODD262230:ODD262231 OMZ262230:OMZ262231 OWV262230:OWV262231 PGR262230:PGR262231 PQN262230:PQN262231 QAJ262230:QAJ262231 QKF262230:QKF262231 QUB262230:QUB262231 RDX262230:RDX262231 RNT262230:RNT262231 RXP262230:RXP262231 SHL262230:SHL262231 SRH262230:SRH262231 TBD262230:TBD262231 TKZ262230:TKZ262231 TUV262230:TUV262231 UER262230:UER262231 UON262230:UON262231 UYJ262230:UYJ262231 VIF262230:VIF262231 VSB262230:VSB262231 WBX262230:WBX262231 WLT262230:WLT262231 WVP262230:WVP262231 E327766:E327767 JD327766:JD327767 SZ327766:SZ327767 ACV327766:ACV327767 AMR327766:AMR327767 AWN327766:AWN327767 BGJ327766:BGJ327767 BQF327766:BQF327767 CAB327766:CAB327767 CJX327766:CJX327767 CTT327766:CTT327767 DDP327766:DDP327767 DNL327766:DNL327767 DXH327766:DXH327767 EHD327766:EHD327767 EQZ327766:EQZ327767 FAV327766:FAV327767 FKR327766:FKR327767 FUN327766:FUN327767 GEJ327766:GEJ327767 GOF327766:GOF327767 GYB327766:GYB327767 HHX327766:HHX327767 HRT327766:HRT327767 IBP327766:IBP327767 ILL327766:ILL327767 IVH327766:IVH327767 JFD327766:JFD327767 JOZ327766:JOZ327767 JYV327766:JYV327767 KIR327766:KIR327767 KSN327766:KSN327767 LCJ327766:LCJ327767 LMF327766:LMF327767 LWB327766:LWB327767 MFX327766:MFX327767 MPT327766:MPT327767 MZP327766:MZP327767 NJL327766:NJL327767 NTH327766:NTH327767 ODD327766:ODD327767 OMZ327766:OMZ327767 OWV327766:OWV327767 PGR327766:PGR327767 PQN327766:PQN327767 QAJ327766:QAJ327767 QKF327766:QKF327767 QUB327766:QUB327767 RDX327766:RDX327767 RNT327766:RNT327767 RXP327766:RXP327767 SHL327766:SHL327767 SRH327766:SRH327767 TBD327766:TBD327767 TKZ327766:TKZ327767 TUV327766:TUV327767 UER327766:UER327767 UON327766:UON327767 UYJ327766:UYJ327767 VIF327766:VIF327767 VSB327766:VSB327767 WBX327766:WBX327767 WLT327766:WLT327767 WVP327766:WVP327767 E393302:E393303 JD393302:JD393303 SZ393302:SZ393303 ACV393302:ACV393303 AMR393302:AMR393303 AWN393302:AWN393303 BGJ393302:BGJ393303 BQF393302:BQF393303 CAB393302:CAB393303 CJX393302:CJX393303 CTT393302:CTT393303 DDP393302:DDP393303 DNL393302:DNL393303 DXH393302:DXH393303 EHD393302:EHD393303 EQZ393302:EQZ393303 FAV393302:FAV393303 FKR393302:FKR393303 FUN393302:FUN393303 GEJ393302:GEJ393303 GOF393302:GOF393303 GYB393302:GYB393303 HHX393302:HHX393303 HRT393302:HRT393303 IBP393302:IBP393303 ILL393302:ILL393303 IVH393302:IVH393303 JFD393302:JFD393303 JOZ393302:JOZ393303 JYV393302:JYV393303 KIR393302:KIR393303 KSN393302:KSN393303 LCJ393302:LCJ393303 LMF393302:LMF393303 LWB393302:LWB393303 MFX393302:MFX393303 MPT393302:MPT393303 MZP393302:MZP393303 NJL393302:NJL393303 NTH393302:NTH393303 ODD393302:ODD393303 OMZ393302:OMZ393303 OWV393302:OWV393303 PGR393302:PGR393303 PQN393302:PQN393303 QAJ393302:QAJ393303 QKF393302:QKF393303 QUB393302:QUB393303 RDX393302:RDX393303 RNT393302:RNT393303 RXP393302:RXP393303 SHL393302:SHL393303 SRH393302:SRH393303 TBD393302:TBD393303 TKZ393302:TKZ393303 TUV393302:TUV393303 UER393302:UER393303 UON393302:UON393303 UYJ393302:UYJ393303 VIF393302:VIF393303 VSB393302:VSB393303 WBX393302:WBX393303 WLT393302:WLT393303 WVP393302:WVP393303 E458838:E458839 JD458838:JD458839 SZ458838:SZ458839 ACV458838:ACV458839 AMR458838:AMR458839 AWN458838:AWN458839 BGJ458838:BGJ458839 BQF458838:BQF458839 CAB458838:CAB458839 CJX458838:CJX458839 CTT458838:CTT458839 DDP458838:DDP458839 DNL458838:DNL458839 DXH458838:DXH458839 EHD458838:EHD458839 EQZ458838:EQZ458839 FAV458838:FAV458839 FKR458838:FKR458839 FUN458838:FUN458839 GEJ458838:GEJ458839 GOF458838:GOF458839 GYB458838:GYB458839 HHX458838:HHX458839 HRT458838:HRT458839 IBP458838:IBP458839 ILL458838:ILL458839 IVH458838:IVH458839 JFD458838:JFD458839 JOZ458838:JOZ458839 JYV458838:JYV458839 KIR458838:KIR458839 KSN458838:KSN458839 LCJ458838:LCJ458839 LMF458838:LMF458839 LWB458838:LWB458839 MFX458838:MFX458839 MPT458838:MPT458839 MZP458838:MZP458839 NJL458838:NJL458839 NTH458838:NTH458839 ODD458838:ODD458839 OMZ458838:OMZ458839 OWV458838:OWV458839 PGR458838:PGR458839 PQN458838:PQN458839 QAJ458838:QAJ458839 QKF458838:QKF458839 QUB458838:QUB458839 RDX458838:RDX458839 RNT458838:RNT458839 RXP458838:RXP458839 SHL458838:SHL458839 SRH458838:SRH458839 TBD458838:TBD458839 TKZ458838:TKZ458839 TUV458838:TUV458839 UER458838:UER458839 UON458838:UON458839 UYJ458838:UYJ458839 VIF458838:VIF458839 VSB458838:VSB458839 WBX458838:WBX458839 WLT458838:WLT458839 WVP458838:WVP458839 E524374:E524375 JD524374:JD524375 SZ524374:SZ524375 ACV524374:ACV524375 AMR524374:AMR524375 AWN524374:AWN524375 BGJ524374:BGJ524375 BQF524374:BQF524375 CAB524374:CAB524375 CJX524374:CJX524375 CTT524374:CTT524375 DDP524374:DDP524375 DNL524374:DNL524375 DXH524374:DXH524375 EHD524374:EHD524375 EQZ524374:EQZ524375 FAV524374:FAV524375 FKR524374:FKR524375 FUN524374:FUN524375 GEJ524374:GEJ524375 GOF524374:GOF524375 GYB524374:GYB524375 HHX524374:HHX524375 HRT524374:HRT524375 IBP524374:IBP524375 ILL524374:ILL524375 IVH524374:IVH524375 JFD524374:JFD524375 JOZ524374:JOZ524375 JYV524374:JYV524375 KIR524374:KIR524375 KSN524374:KSN524375 LCJ524374:LCJ524375 LMF524374:LMF524375 LWB524374:LWB524375 MFX524374:MFX524375 MPT524374:MPT524375 MZP524374:MZP524375 NJL524374:NJL524375 NTH524374:NTH524375 ODD524374:ODD524375 OMZ524374:OMZ524375 OWV524374:OWV524375 PGR524374:PGR524375 PQN524374:PQN524375 QAJ524374:QAJ524375 QKF524374:QKF524375 QUB524374:QUB524375 RDX524374:RDX524375 RNT524374:RNT524375 RXP524374:RXP524375 SHL524374:SHL524375 SRH524374:SRH524375 TBD524374:TBD524375 TKZ524374:TKZ524375 TUV524374:TUV524375 UER524374:UER524375 UON524374:UON524375 UYJ524374:UYJ524375 VIF524374:VIF524375 VSB524374:VSB524375 WBX524374:WBX524375 WLT524374:WLT524375 WVP524374:WVP524375 E589910:E589911 JD589910:JD589911 SZ589910:SZ589911 ACV589910:ACV589911 AMR589910:AMR589911 AWN589910:AWN589911 BGJ589910:BGJ589911 BQF589910:BQF589911 CAB589910:CAB589911 CJX589910:CJX589911 CTT589910:CTT589911 DDP589910:DDP589911 DNL589910:DNL589911 DXH589910:DXH589911 EHD589910:EHD589911 EQZ589910:EQZ589911 FAV589910:FAV589911 FKR589910:FKR589911 FUN589910:FUN589911 GEJ589910:GEJ589911 GOF589910:GOF589911 GYB589910:GYB589911 HHX589910:HHX589911 HRT589910:HRT589911 IBP589910:IBP589911 ILL589910:ILL589911 IVH589910:IVH589911 JFD589910:JFD589911 JOZ589910:JOZ589911 JYV589910:JYV589911 KIR589910:KIR589911 KSN589910:KSN589911 LCJ589910:LCJ589911 LMF589910:LMF589911 LWB589910:LWB589911 MFX589910:MFX589911 MPT589910:MPT589911 MZP589910:MZP589911 NJL589910:NJL589911 NTH589910:NTH589911 ODD589910:ODD589911 OMZ589910:OMZ589911 OWV589910:OWV589911 PGR589910:PGR589911 PQN589910:PQN589911 QAJ589910:QAJ589911 QKF589910:QKF589911 QUB589910:QUB589911 RDX589910:RDX589911 RNT589910:RNT589911 RXP589910:RXP589911 SHL589910:SHL589911 SRH589910:SRH589911 TBD589910:TBD589911 TKZ589910:TKZ589911 TUV589910:TUV589911 UER589910:UER589911 UON589910:UON589911 UYJ589910:UYJ589911 VIF589910:VIF589911 VSB589910:VSB589911 WBX589910:WBX589911 WLT589910:WLT589911 WVP589910:WVP589911 E655446:E655447 JD655446:JD655447 SZ655446:SZ655447 ACV655446:ACV655447 AMR655446:AMR655447 AWN655446:AWN655447 BGJ655446:BGJ655447 BQF655446:BQF655447 CAB655446:CAB655447 CJX655446:CJX655447 CTT655446:CTT655447 DDP655446:DDP655447 DNL655446:DNL655447 DXH655446:DXH655447 EHD655446:EHD655447 EQZ655446:EQZ655447 FAV655446:FAV655447 FKR655446:FKR655447 FUN655446:FUN655447 GEJ655446:GEJ655447 GOF655446:GOF655447 GYB655446:GYB655447 HHX655446:HHX655447 HRT655446:HRT655447 IBP655446:IBP655447 ILL655446:ILL655447 IVH655446:IVH655447 JFD655446:JFD655447 JOZ655446:JOZ655447 JYV655446:JYV655447 KIR655446:KIR655447 KSN655446:KSN655447 LCJ655446:LCJ655447 LMF655446:LMF655447 LWB655446:LWB655447 MFX655446:MFX655447 MPT655446:MPT655447 MZP655446:MZP655447 NJL655446:NJL655447 NTH655446:NTH655447 ODD655446:ODD655447 OMZ655446:OMZ655447 OWV655446:OWV655447 PGR655446:PGR655447 PQN655446:PQN655447 QAJ655446:QAJ655447 QKF655446:QKF655447 QUB655446:QUB655447 RDX655446:RDX655447 RNT655446:RNT655447 RXP655446:RXP655447 SHL655446:SHL655447 SRH655446:SRH655447 TBD655446:TBD655447 TKZ655446:TKZ655447 TUV655446:TUV655447 UER655446:UER655447 UON655446:UON655447 UYJ655446:UYJ655447 VIF655446:VIF655447 VSB655446:VSB655447 WBX655446:WBX655447 WLT655446:WLT655447 WVP655446:WVP655447 E720982:E720983 JD720982:JD720983 SZ720982:SZ720983 ACV720982:ACV720983 AMR720982:AMR720983 AWN720982:AWN720983 BGJ720982:BGJ720983 BQF720982:BQF720983 CAB720982:CAB720983 CJX720982:CJX720983 CTT720982:CTT720983 DDP720982:DDP720983 DNL720982:DNL720983 DXH720982:DXH720983 EHD720982:EHD720983 EQZ720982:EQZ720983 FAV720982:FAV720983 FKR720982:FKR720983 FUN720982:FUN720983 GEJ720982:GEJ720983 GOF720982:GOF720983 GYB720982:GYB720983 HHX720982:HHX720983 HRT720982:HRT720983 IBP720982:IBP720983 ILL720982:ILL720983 IVH720982:IVH720983 JFD720982:JFD720983 JOZ720982:JOZ720983 JYV720982:JYV720983 KIR720982:KIR720983 KSN720982:KSN720983 LCJ720982:LCJ720983 LMF720982:LMF720983 LWB720982:LWB720983 MFX720982:MFX720983 MPT720982:MPT720983 MZP720982:MZP720983 NJL720982:NJL720983 NTH720982:NTH720983 ODD720982:ODD720983 OMZ720982:OMZ720983 OWV720982:OWV720983 PGR720982:PGR720983 PQN720982:PQN720983 QAJ720982:QAJ720983 QKF720982:QKF720983 QUB720982:QUB720983 RDX720982:RDX720983 RNT720982:RNT720983 RXP720982:RXP720983 SHL720982:SHL720983 SRH720982:SRH720983 TBD720982:TBD720983 TKZ720982:TKZ720983 TUV720982:TUV720983 UER720982:UER720983 UON720982:UON720983 UYJ720982:UYJ720983 VIF720982:VIF720983 VSB720982:VSB720983 WBX720982:WBX720983 WLT720982:WLT720983 WVP720982:WVP720983 E786518:E786519 JD786518:JD786519 SZ786518:SZ786519 ACV786518:ACV786519 AMR786518:AMR786519 AWN786518:AWN786519 BGJ786518:BGJ786519 BQF786518:BQF786519 CAB786518:CAB786519 CJX786518:CJX786519 CTT786518:CTT786519 DDP786518:DDP786519 DNL786518:DNL786519 DXH786518:DXH786519 EHD786518:EHD786519 EQZ786518:EQZ786519 FAV786518:FAV786519 FKR786518:FKR786519 FUN786518:FUN786519 GEJ786518:GEJ786519 GOF786518:GOF786519 GYB786518:GYB786519 HHX786518:HHX786519 HRT786518:HRT786519 IBP786518:IBP786519 ILL786518:ILL786519 IVH786518:IVH786519 JFD786518:JFD786519 JOZ786518:JOZ786519 JYV786518:JYV786519 KIR786518:KIR786519 KSN786518:KSN786519 LCJ786518:LCJ786519 LMF786518:LMF786519 LWB786518:LWB786519 MFX786518:MFX786519 MPT786518:MPT786519 MZP786518:MZP786519 NJL786518:NJL786519 NTH786518:NTH786519 ODD786518:ODD786519 OMZ786518:OMZ786519 OWV786518:OWV786519 PGR786518:PGR786519 PQN786518:PQN786519 QAJ786518:QAJ786519 QKF786518:QKF786519 QUB786518:QUB786519 RDX786518:RDX786519 RNT786518:RNT786519 RXP786518:RXP786519 SHL786518:SHL786519 SRH786518:SRH786519 TBD786518:TBD786519 TKZ786518:TKZ786519 TUV786518:TUV786519 UER786518:UER786519 UON786518:UON786519 UYJ786518:UYJ786519 VIF786518:VIF786519 VSB786518:VSB786519 WBX786518:WBX786519 WLT786518:WLT786519 WVP786518:WVP786519 E852054:E852055 JD852054:JD852055 SZ852054:SZ852055 ACV852054:ACV852055 AMR852054:AMR852055 AWN852054:AWN852055 BGJ852054:BGJ852055 BQF852054:BQF852055 CAB852054:CAB852055 CJX852054:CJX852055 CTT852054:CTT852055 DDP852054:DDP852055 DNL852054:DNL852055 DXH852054:DXH852055 EHD852054:EHD852055 EQZ852054:EQZ852055 FAV852054:FAV852055 FKR852054:FKR852055 FUN852054:FUN852055 GEJ852054:GEJ852055 GOF852054:GOF852055 GYB852054:GYB852055 HHX852054:HHX852055 HRT852054:HRT852055 IBP852054:IBP852055 ILL852054:ILL852055 IVH852054:IVH852055 JFD852054:JFD852055 JOZ852054:JOZ852055 JYV852054:JYV852055 KIR852054:KIR852055 KSN852054:KSN852055 LCJ852054:LCJ852055 LMF852054:LMF852055 LWB852054:LWB852055 MFX852054:MFX852055 MPT852054:MPT852055 MZP852054:MZP852055 NJL852054:NJL852055 NTH852054:NTH852055 ODD852054:ODD852055 OMZ852054:OMZ852055 OWV852054:OWV852055 PGR852054:PGR852055 PQN852054:PQN852055 QAJ852054:QAJ852055 QKF852054:QKF852055 QUB852054:QUB852055 RDX852054:RDX852055 RNT852054:RNT852055 RXP852054:RXP852055 SHL852054:SHL852055 SRH852054:SRH852055 TBD852054:TBD852055 TKZ852054:TKZ852055 TUV852054:TUV852055 UER852054:UER852055 UON852054:UON852055 UYJ852054:UYJ852055 VIF852054:VIF852055 VSB852054:VSB852055 WBX852054:WBX852055 WLT852054:WLT852055 WVP852054:WVP852055 E917590:E917591 JD917590:JD917591 SZ917590:SZ917591 ACV917590:ACV917591 AMR917590:AMR917591 AWN917590:AWN917591 BGJ917590:BGJ917591 BQF917590:BQF917591 CAB917590:CAB917591 CJX917590:CJX917591 CTT917590:CTT917591 DDP917590:DDP917591 DNL917590:DNL917591 DXH917590:DXH917591 EHD917590:EHD917591 EQZ917590:EQZ917591 FAV917590:FAV917591 FKR917590:FKR917591 FUN917590:FUN917591 GEJ917590:GEJ917591 GOF917590:GOF917591 GYB917590:GYB917591 HHX917590:HHX917591 HRT917590:HRT917591 IBP917590:IBP917591 ILL917590:ILL917591 IVH917590:IVH917591 JFD917590:JFD917591 JOZ917590:JOZ917591 JYV917590:JYV917591 KIR917590:KIR917591 KSN917590:KSN917591 LCJ917590:LCJ917591 LMF917590:LMF917591 LWB917590:LWB917591 MFX917590:MFX917591 MPT917590:MPT917591 MZP917590:MZP917591 NJL917590:NJL917591 NTH917590:NTH917591 ODD917590:ODD917591 OMZ917590:OMZ917591 OWV917590:OWV917591 PGR917590:PGR917591 PQN917590:PQN917591 QAJ917590:QAJ917591 QKF917590:QKF917591 QUB917590:QUB917591 RDX917590:RDX917591 RNT917590:RNT917591 RXP917590:RXP917591 SHL917590:SHL917591 SRH917590:SRH917591 TBD917590:TBD917591 TKZ917590:TKZ917591 TUV917590:TUV917591 UER917590:UER917591 UON917590:UON917591 UYJ917590:UYJ917591 VIF917590:VIF917591 VSB917590:VSB917591 WBX917590:WBX917591 WLT917590:WLT917591 WVP917590:WVP917591 E983126:E983127 JD983126:JD983127 SZ983126:SZ983127 ACV983126:ACV983127 AMR983126:AMR983127 AWN983126:AWN983127 BGJ983126:BGJ983127 BQF983126:BQF983127 CAB983126:CAB983127 CJX983126:CJX983127 CTT983126:CTT983127 DDP983126:DDP983127 DNL983126:DNL983127 DXH983126:DXH983127 EHD983126:EHD983127 EQZ983126:EQZ983127 FAV983126:FAV983127 FKR983126:FKR983127 FUN983126:FUN983127 GEJ983126:GEJ983127 GOF983126:GOF983127 GYB983126:GYB983127 HHX983126:HHX983127 HRT983126:HRT983127 IBP983126:IBP983127 ILL983126:ILL983127 IVH983126:IVH983127 JFD983126:JFD983127 JOZ983126:JOZ983127 JYV983126:JYV983127 KIR983126:KIR983127 KSN983126:KSN983127 LCJ983126:LCJ983127 LMF983126:LMF983127 LWB983126:LWB983127 MFX983126:MFX983127 MPT983126:MPT983127 MZP983126:MZP983127 NJL983126:NJL983127 NTH983126:NTH983127 ODD983126:ODD983127 OMZ983126:OMZ983127 OWV983126:OWV983127 PGR983126:PGR983127 PQN983126:PQN983127 QAJ983126:QAJ983127 QKF983126:QKF983127 QUB983126:QUB983127 RDX983126:RDX983127 RNT983126:RNT983127 RXP983126:RXP983127 SHL983126:SHL983127 SRH983126:SRH983127 TBD983126:TBD983127 TKZ983126:TKZ983127 TUV983126:TUV983127 UER983126:UER983127 UON983126:UON983127 UYJ983126:UYJ983127 VIF983126:VIF983127 VSB983126:VSB983127 WBX983126:WBX983127 WLT983126:WLT983127 WVP983126:WVP983127 JF306:JM306 TB306:TI306 ACX306:ADE306 AMT306:ANA306 AWP306:AWW306 BGL306:BGS306 BQH306:BQO306 CAD306:CAK306 CJZ306:CKG306 CTV306:CUC306 DDR306:DDY306 DNN306:DNU306 DXJ306:DXQ306 EHF306:EHM306 ERB306:ERI306 FAX306:FBE306 FKT306:FLA306 FUP306:FUW306 GEL306:GES306 GOH306:GOO306 GYD306:GYK306 HHZ306:HIG306 HRV306:HSC306 IBR306:IBY306 ILN306:ILU306 IVJ306:IVQ306 JFF306:JFM306 JPB306:JPI306 JYX306:JZE306 KIT306:KJA306 KSP306:KSW306 LCL306:LCS306 LMH306:LMO306 LWD306:LWK306 MFZ306:MGG306 MPV306:MQC306 MZR306:MZY306 NJN306:NJU306 NTJ306:NTQ306 ODF306:ODM306 ONB306:ONI306 OWX306:OXE306 PGT306:PHA306 PQP306:PQW306 QAL306:QAS306 QKH306:QKO306 QUD306:QUK306 RDZ306:REG306 RNV306:ROC306 RXR306:RXY306 SHN306:SHU306 SRJ306:SRQ306 TBF306:TBM306 TLB306:TLI306 TUX306:TVE306 UET306:UFA306 UOP306:UOW306 UYL306:UYS306 VIH306:VIO306 VSD306:VSK306 WBZ306:WCG306 WLV306:WMC306 WVR306:WVY306 JF65842:JM65842 TB65842:TI65842 ACX65842:ADE65842 AMT65842:ANA65842 AWP65842:AWW65842 BGL65842:BGS65842 BQH65842:BQO65842 CAD65842:CAK65842 CJZ65842:CKG65842 CTV65842:CUC65842 DDR65842:DDY65842 DNN65842:DNU65842 DXJ65842:DXQ65842 EHF65842:EHM65842 ERB65842:ERI65842 FAX65842:FBE65842 FKT65842:FLA65842 FUP65842:FUW65842 GEL65842:GES65842 GOH65842:GOO65842 GYD65842:GYK65842 HHZ65842:HIG65842 HRV65842:HSC65842 IBR65842:IBY65842 ILN65842:ILU65842 IVJ65842:IVQ65842 JFF65842:JFM65842 JPB65842:JPI65842 JYX65842:JZE65842 KIT65842:KJA65842 KSP65842:KSW65842 LCL65842:LCS65842 LMH65842:LMO65842 LWD65842:LWK65842 MFZ65842:MGG65842 MPV65842:MQC65842 MZR65842:MZY65842 NJN65842:NJU65842 NTJ65842:NTQ65842 ODF65842:ODM65842 ONB65842:ONI65842 OWX65842:OXE65842 PGT65842:PHA65842 PQP65842:PQW65842 QAL65842:QAS65842 QKH65842:QKO65842 QUD65842:QUK65842 RDZ65842:REG65842 RNV65842:ROC65842 RXR65842:RXY65842 SHN65842:SHU65842 SRJ65842:SRQ65842 TBF65842:TBM65842 TLB65842:TLI65842 TUX65842:TVE65842 UET65842:UFA65842 UOP65842:UOW65842 UYL65842:UYS65842 VIH65842:VIO65842 VSD65842:VSK65842 WBZ65842:WCG65842 WLV65842:WMC65842 WVR65842:WVY65842 JF131378:JM131378 TB131378:TI131378 ACX131378:ADE131378 AMT131378:ANA131378 AWP131378:AWW131378 BGL131378:BGS131378 BQH131378:BQO131378 CAD131378:CAK131378 CJZ131378:CKG131378 CTV131378:CUC131378 DDR131378:DDY131378 DNN131378:DNU131378 DXJ131378:DXQ131378 EHF131378:EHM131378 ERB131378:ERI131378 FAX131378:FBE131378 FKT131378:FLA131378 FUP131378:FUW131378 GEL131378:GES131378 GOH131378:GOO131378 GYD131378:GYK131378 HHZ131378:HIG131378 HRV131378:HSC131378 IBR131378:IBY131378 ILN131378:ILU131378 IVJ131378:IVQ131378 JFF131378:JFM131378 JPB131378:JPI131378 JYX131378:JZE131378 KIT131378:KJA131378 KSP131378:KSW131378 LCL131378:LCS131378 LMH131378:LMO131378 LWD131378:LWK131378 MFZ131378:MGG131378 MPV131378:MQC131378 MZR131378:MZY131378 NJN131378:NJU131378 NTJ131378:NTQ131378 ODF131378:ODM131378 ONB131378:ONI131378 OWX131378:OXE131378 PGT131378:PHA131378 PQP131378:PQW131378 QAL131378:QAS131378 QKH131378:QKO131378 QUD131378:QUK131378 RDZ131378:REG131378 RNV131378:ROC131378 RXR131378:RXY131378 SHN131378:SHU131378 SRJ131378:SRQ131378 TBF131378:TBM131378 TLB131378:TLI131378 TUX131378:TVE131378 UET131378:UFA131378 UOP131378:UOW131378 UYL131378:UYS131378 VIH131378:VIO131378 VSD131378:VSK131378 WBZ131378:WCG131378 WLV131378:WMC131378 WVR131378:WVY131378 JF196914:JM196914 TB196914:TI196914 ACX196914:ADE196914 AMT196914:ANA196914 AWP196914:AWW196914 BGL196914:BGS196914 BQH196914:BQO196914 CAD196914:CAK196914 CJZ196914:CKG196914 CTV196914:CUC196914 DDR196914:DDY196914 DNN196914:DNU196914 DXJ196914:DXQ196914 EHF196914:EHM196914 ERB196914:ERI196914 FAX196914:FBE196914 FKT196914:FLA196914 FUP196914:FUW196914 GEL196914:GES196914 GOH196914:GOO196914 GYD196914:GYK196914 HHZ196914:HIG196914 HRV196914:HSC196914 IBR196914:IBY196914 ILN196914:ILU196914 IVJ196914:IVQ196914 JFF196914:JFM196914 JPB196914:JPI196914 JYX196914:JZE196914 KIT196914:KJA196914 KSP196914:KSW196914 LCL196914:LCS196914 LMH196914:LMO196914 LWD196914:LWK196914 MFZ196914:MGG196914 MPV196914:MQC196914 MZR196914:MZY196914 NJN196914:NJU196914 NTJ196914:NTQ196914 ODF196914:ODM196914 ONB196914:ONI196914 OWX196914:OXE196914 PGT196914:PHA196914 PQP196914:PQW196914 QAL196914:QAS196914 QKH196914:QKO196914 QUD196914:QUK196914 RDZ196914:REG196914 RNV196914:ROC196914 RXR196914:RXY196914 SHN196914:SHU196914 SRJ196914:SRQ196914 TBF196914:TBM196914 TLB196914:TLI196914 TUX196914:TVE196914 UET196914:UFA196914 UOP196914:UOW196914 UYL196914:UYS196914 VIH196914:VIO196914 VSD196914:VSK196914 WBZ196914:WCG196914 WLV196914:WMC196914 WVR196914:WVY196914 JF262450:JM262450 TB262450:TI262450 ACX262450:ADE262450 AMT262450:ANA262450 AWP262450:AWW262450 BGL262450:BGS262450 BQH262450:BQO262450 CAD262450:CAK262450 CJZ262450:CKG262450 CTV262450:CUC262450 DDR262450:DDY262450 DNN262450:DNU262450 DXJ262450:DXQ262450 EHF262450:EHM262450 ERB262450:ERI262450 FAX262450:FBE262450 FKT262450:FLA262450 FUP262450:FUW262450 GEL262450:GES262450 GOH262450:GOO262450 GYD262450:GYK262450 HHZ262450:HIG262450 HRV262450:HSC262450 IBR262450:IBY262450 ILN262450:ILU262450 IVJ262450:IVQ262450 JFF262450:JFM262450 JPB262450:JPI262450 JYX262450:JZE262450 KIT262450:KJA262450 KSP262450:KSW262450 LCL262450:LCS262450 LMH262450:LMO262450 LWD262450:LWK262450 MFZ262450:MGG262450 MPV262450:MQC262450 MZR262450:MZY262450 NJN262450:NJU262450 NTJ262450:NTQ262450 ODF262450:ODM262450 ONB262450:ONI262450 OWX262450:OXE262450 PGT262450:PHA262450 PQP262450:PQW262450 QAL262450:QAS262450 QKH262450:QKO262450 QUD262450:QUK262450 RDZ262450:REG262450 RNV262450:ROC262450 RXR262450:RXY262450 SHN262450:SHU262450 SRJ262450:SRQ262450 TBF262450:TBM262450 TLB262450:TLI262450 TUX262450:TVE262450 UET262450:UFA262450 UOP262450:UOW262450 UYL262450:UYS262450 VIH262450:VIO262450 VSD262450:VSK262450 WBZ262450:WCG262450 WLV262450:WMC262450 WVR262450:WVY262450 JF327986:JM327986 TB327986:TI327986 ACX327986:ADE327986 AMT327986:ANA327986 AWP327986:AWW327986 BGL327986:BGS327986 BQH327986:BQO327986 CAD327986:CAK327986 CJZ327986:CKG327986 CTV327986:CUC327986 DDR327986:DDY327986 DNN327986:DNU327986 DXJ327986:DXQ327986 EHF327986:EHM327986 ERB327986:ERI327986 FAX327986:FBE327986 FKT327986:FLA327986 FUP327986:FUW327986 GEL327986:GES327986 GOH327986:GOO327986 GYD327986:GYK327986 HHZ327986:HIG327986 HRV327986:HSC327986 IBR327986:IBY327986 ILN327986:ILU327986 IVJ327986:IVQ327986 JFF327986:JFM327986 JPB327986:JPI327986 JYX327986:JZE327986 KIT327986:KJA327986 KSP327986:KSW327986 LCL327986:LCS327986 LMH327986:LMO327986 LWD327986:LWK327986 MFZ327986:MGG327986 MPV327986:MQC327986 MZR327986:MZY327986 NJN327986:NJU327986 NTJ327986:NTQ327986 ODF327986:ODM327986 ONB327986:ONI327986 OWX327986:OXE327986 PGT327986:PHA327986 PQP327986:PQW327986 QAL327986:QAS327986 QKH327986:QKO327986 QUD327986:QUK327986 RDZ327986:REG327986 RNV327986:ROC327986 RXR327986:RXY327986 SHN327986:SHU327986 SRJ327986:SRQ327986 TBF327986:TBM327986 TLB327986:TLI327986 TUX327986:TVE327986 UET327986:UFA327986 UOP327986:UOW327986 UYL327986:UYS327986 VIH327986:VIO327986 VSD327986:VSK327986 WBZ327986:WCG327986 WLV327986:WMC327986 WVR327986:WVY327986 JF393522:JM393522 TB393522:TI393522 ACX393522:ADE393522 AMT393522:ANA393522 AWP393522:AWW393522 BGL393522:BGS393522 BQH393522:BQO393522 CAD393522:CAK393522 CJZ393522:CKG393522 CTV393522:CUC393522 DDR393522:DDY393522 DNN393522:DNU393522 DXJ393522:DXQ393522 EHF393522:EHM393522 ERB393522:ERI393522 FAX393522:FBE393522 FKT393522:FLA393522 FUP393522:FUW393522 GEL393522:GES393522 GOH393522:GOO393522 GYD393522:GYK393522 HHZ393522:HIG393522 HRV393522:HSC393522 IBR393522:IBY393522 ILN393522:ILU393522 IVJ393522:IVQ393522 JFF393522:JFM393522 JPB393522:JPI393522 JYX393522:JZE393522 KIT393522:KJA393522 KSP393522:KSW393522 LCL393522:LCS393522 LMH393522:LMO393522 LWD393522:LWK393522 MFZ393522:MGG393522 MPV393522:MQC393522 MZR393522:MZY393522 NJN393522:NJU393522 NTJ393522:NTQ393522 ODF393522:ODM393522 ONB393522:ONI393522 OWX393522:OXE393522 PGT393522:PHA393522 PQP393522:PQW393522 QAL393522:QAS393522 QKH393522:QKO393522 QUD393522:QUK393522 RDZ393522:REG393522 RNV393522:ROC393522 RXR393522:RXY393522 SHN393522:SHU393522 SRJ393522:SRQ393522 TBF393522:TBM393522 TLB393522:TLI393522 TUX393522:TVE393522 UET393522:UFA393522 UOP393522:UOW393522 UYL393522:UYS393522 VIH393522:VIO393522 VSD393522:VSK393522 WBZ393522:WCG393522 WLV393522:WMC393522 WVR393522:WVY393522 JF459058:JM459058 TB459058:TI459058 ACX459058:ADE459058 AMT459058:ANA459058 AWP459058:AWW459058 BGL459058:BGS459058 BQH459058:BQO459058 CAD459058:CAK459058 CJZ459058:CKG459058 CTV459058:CUC459058 DDR459058:DDY459058 DNN459058:DNU459058 DXJ459058:DXQ459058 EHF459058:EHM459058 ERB459058:ERI459058 FAX459058:FBE459058 FKT459058:FLA459058 FUP459058:FUW459058 GEL459058:GES459058 GOH459058:GOO459058 GYD459058:GYK459058 HHZ459058:HIG459058 HRV459058:HSC459058 IBR459058:IBY459058 ILN459058:ILU459058 IVJ459058:IVQ459058 JFF459058:JFM459058 JPB459058:JPI459058 JYX459058:JZE459058 KIT459058:KJA459058 KSP459058:KSW459058 LCL459058:LCS459058 LMH459058:LMO459058 LWD459058:LWK459058 MFZ459058:MGG459058 MPV459058:MQC459058 MZR459058:MZY459058 NJN459058:NJU459058 NTJ459058:NTQ459058 ODF459058:ODM459058 ONB459058:ONI459058 OWX459058:OXE459058 PGT459058:PHA459058 PQP459058:PQW459058 QAL459058:QAS459058 QKH459058:QKO459058 QUD459058:QUK459058 RDZ459058:REG459058 RNV459058:ROC459058 RXR459058:RXY459058 SHN459058:SHU459058 SRJ459058:SRQ459058 TBF459058:TBM459058 TLB459058:TLI459058 TUX459058:TVE459058 UET459058:UFA459058 UOP459058:UOW459058 UYL459058:UYS459058 VIH459058:VIO459058 VSD459058:VSK459058 WBZ459058:WCG459058 WLV459058:WMC459058 WVR459058:WVY459058 JF524594:JM524594 TB524594:TI524594 ACX524594:ADE524594 AMT524594:ANA524594 AWP524594:AWW524594 BGL524594:BGS524594 BQH524594:BQO524594 CAD524594:CAK524594 CJZ524594:CKG524594 CTV524594:CUC524594 DDR524594:DDY524594 DNN524594:DNU524594 DXJ524594:DXQ524594 EHF524594:EHM524594 ERB524594:ERI524594 FAX524594:FBE524594 FKT524594:FLA524594 FUP524594:FUW524594 GEL524594:GES524594 GOH524594:GOO524594 GYD524594:GYK524594 HHZ524594:HIG524594 HRV524594:HSC524594 IBR524594:IBY524594 ILN524594:ILU524594 IVJ524594:IVQ524594 JFF524594:JFM524594 JPB524594:JPI524594 JYX524594:JZE524594 KIT524594:KJA524594 KSP524594:KSW524594 LCL524594:LCS524594 LMH524594:LMO524594 LWD524594:LWK524594 MFZ524594:MGG524594 MPV524594:MQC524594 MZR524594:MZY524594 NJN524594:NJU524594 NTJ524594:NTQ524594 ODF524594:ODM524594 ONB524594:ONI524594 OWX524594:OXE524594 PGT524594:PHA524594 PQP524594:PQW524594 QAL524594:QAS524594 QKH524594:QKO524594 QUD524594:QUK524594 RDZ524594:REG524594 RNV524594:ROC524594 RXR524594:RXY524594 SHN524594:SHU524594 SRJ524594:SRQ524594 TBF524594:TBM524594 TLB524594:TLI524594 TUX524594:TVE524594 UET524594:UFA524594 UOP524594:UOW524594 UYL524594:UYS524594 VIH524594:VIO524594 VSD524594:VSK524594 WBZ524594:WCG524594 WLV524594:WMC524594 WVR524594:WVY524594 JF590130:JM590130 TB590130:TI590130 ACX590130:ADE590130 AMT590130:ANA590130 AWP590130:AWW590130 BGL590130:BGS590130 BQH590130:BQO590130 CAD590130:CAK590130 CJZ590130:CKG590130 CTV590130:CUC590130 DDR590130:DDY590130 DNN590130:DNU590130 DXJ590130:DXQ590130 EHF590130:EHM590130 ERB590130:ERI590130 FAX590130:FBE590130 FKT590130:FLA590130 FUP590130:FUW590130 GEL590130:GES590130 GOH590130:GOO590130 GYD590130:GYK590130 HHZ590130:HIG590130 HRV590130:HSC590130 IBR590130:IBY590130 ILN590130:ILU590130 IVJ590130:IVQ590130 JFF590130:JFM590130 JPB590130:JPI590130 JYX590130:JZE590130 KIT590130:KJA590130 KSP590130:KSW590130 LCL590130:LCS590130 LMH590130:LMO590130 LWD590130:LWK590130 MFZ590130:MGG590130 MPV590130:MQC590130 MZR590130:MZY590130 NJN590130:NJU590130 NTJ590130:NTQ590130 ODF590130:ODM590130 ONB590130:ONI590130 OWX590130:OXE590130 PGT590130:PHA590130 PQP590130:PQW590130 QAL590130:QAS590130 QKH590130:QKO590130 QUD590130:QUK590130 RDZ590130:REG590130 RNV590130:ROC590130 RXR590130:RXY590130 SHN590130:SHU590130 SRJ590130:SRQ590130 TBF590130:TBM590130 TLB590130:TLI590130 TUX590130:TVE590130 UET590130:UFA590130 UOP590130:UOW590130 UYL590130:UYS590130 VIH590130:VIO590130 VSD590130:VSK590130 WBZ590130:WCG590130 WLV590130:WMC590130 WVR590130:WVY590130 JF655666:JM655666 TB655666:TI655666 ACX655666:ADE655666 AMT655666:ANA655666 AWP655666:AWW655666 BGL655666:BGS655666 BQH655666:BQO655666 CAD655666:CAK655666 CJZ655666:CKG655666 CTV655666:CUC655666 DDR655666:DDY655666 DNN655666:DNU655666 DXJ655666:DXQ655666 EHF655666:EHM655666 ERB655666:ERI655666 FAX655666:FBE655666 FKT655666:FLA655666 FUP655666:FUW655666 GEL655666:GES655666 GOH655666:GOO655666 GYD655666:GYK655666 HHZ655666:HIG655666 HRV655666:HSC655666 IBR655666:IBY655666 ILN655666:ILU655666 IVJ655666:IVQ655666 JFF655666:JFM655666 JPB655666:JPI655666 JYX655666:JZE655666 KIT655666:KJA655666 KSP655666:KSW655666 LCL655666:LCS655666 LMH655666:LMO655666 LWD655666:LWK655666 MFZ655666:MGG655666 MPV655666:MQC655666 MZR655666:MZY655666 NJN655666:NJU655666 NTJ655666:NTQ655666 ODF655666:ODM655666 ONB655666:ONI655666 OWX655666:OXE655666 PGT655666:PHA655666 PQP655666:PQW655666 QAL655666:QAS655666 QKH655666:QKO655666 QUD655666:QUK655666 RDZ655666:REG655666 RNV655666:ROC655666 RXR655666:RXY655666 SHN655666:SHU655666 SRJ655666:SRQ655666 TBF655666:TBM655666 TLB655666:TLI655666 TUX655666:TVE655666 UET655666:UFA655666 UOP655666:UOW655666 UYL655666:UYS655666 VIH655666:VIO655666 VSD655666:VSK655666 WBZ655666:WCG655666 WLV655666:WMC655666 WVR655666:WVY655666 JF721202:JM721202 TB721202:TI721202 ACX721202:ADE721202 AMT721202:ANA721202 AWP721202:AWW721202 BGL721202:BGS721202 BQH721202:BQO721202 CAD721202:CAK721202 CJZ721202:CKG721202 CTV721202:CUC721202 DDR721202:DDY721202 DNN721202:DNU721202 DXJ721202:DXQ721202 EHF721202:EHM721202 ERB721202:ERI721202 FAX721202:FBE721202 FKT721202:FLA721202 FUP721202:FUW721202 GEL721202:GES721202 GOH721202:GOO721202 GYD721202:GYK721202 HHZ721202:HIG721202 HRV721202:HSC721202 IBR721202:IBY721202 ILN721202:ILU721202 IVJ721202:IVQ721202 JFF721202:JFM721202 JPB721202:JPI721202 JYX721202:JZE721202 KIT721202:KJA721202 KSP721202:KSW721202 LCL721202:LCS721202 LMH721202:LMO721202 LWD721202:LWK721202 MFZ721202:MGG721202 MPV721202:MQC721202 MZR721202:MZY721202 NJN721202:NJU721202 NTJ721202:NTQ721202 ODF721202:ODM721202 ONB721202:ONI721202 OWX721202:OXE721202 PGT721202:PHA721202 PQP721202:PQW721202 QAL721202:QAS721202 QKH721202:QKO721202 QUD721202:QUK721202 RDZ721202:REG721202 RNV721202:ROC721202 RXR721202:RXY721202 SHN721202:SHU721202 SRJ721202:SRQ721202 TBF721202:TBM721202 TLB721202:TLI721202 TUX721202:TVE721202 UET721202:UFA721202 UOP721202:UOW721202 UYL721202:UYS721202 VIH721202:VIO721202 VSD721202:VSK721202 WBZ721202:WCG721202 WLV721202:WMC721202 WVR721202:WVY721202 JF786738:JM786738 TB786738:TI786738 ACX786738:ADE786738 AMT786738:ANA786738 AWP786738:AWW786738 BGL786738:BGS786738 BQH786738:BQO786738 CAD786738:CAK786738 CJZ786738:CKG786738 CTV786738:CUC786738 DDR786738:DDY786738 DNN786738:DNU786738 DXJ786738:DXQ786738 EHF786738:EHM786738 ERB786738:ERI786738 FAX786738:FBE786738 FKT786738:FLA786738 FUP786738:FUW786738 GEL786738:GES786738 GOH786738:GOO786738 GYD786738:GYK786738 HHZ786738:HIG786738 HRV786738:HSC786738 IBR786738:IBY786738 ILN786738:ILU786738 IVJ786738:IVQ786738 JFF786738:JFM786738 JPB786738:JPI786738 JYX786738:JZE786738 KIT786738:KJA786738 KSP786738:KSW786738 LCL786738:LCS786738 LMH786738:LMO786738 LWD786738:LWK786738 MFZ786738:MGG786738 MPV786738:MQC786738 MZR786738:MZY786738 NJN786738:NJU786738 NTJ786738:NTQ786738 ODF786738:ODM786738 ONB786738:ONI786738 OWX786738:OXE786738 PGT786738:PHA786738 PQP786738:PQW786738 QAL786738:QAS786738 QKH786738:QKO786738 QUD786738:QUK786738 RDZ786738:REG786738 RNV786738:ROC786738 RXR786738:RXY786738 SHN786738:SHU786738 SRJ786738:SRQ786738 TBF786738:TBM786738 TLB786738:TLI786738 TUX786738:TVE786738 UET786738:UFA786738 UOP786738:UOW786738 UYL786738:UYS786738 VIH786738:VIO786738 VSD786738:VSK786738 WBZ786738:WCG786738 WLV786738:WMC786738 WVR786738:WVY786738 JF852274:JM852274 TB852274:TI852274 ACX852274:ADE852274 AMT852274:ANA852274 AWP852274:AWW852274 BGL852274:BGS852274 BQH852274:BQO852274 CAD852274:CAK852274 CJZ852274:CKG852274 CTV852274:CUC852274 DDR852274:DDY852274 DNN852274:DNU852274 DXJ852274:DXQ852274 EHF852274:EHM852274 ERB852274:ERI852274 FAX852274:FBE852274 FKT852274:FLA852274 FUP852274:FUW852274 GEL852274:GES852274 GOH852274:GOO852274 GYD852274:GYK852274 HHZ852274:HIG852274 HRV852274:HSC852274 IBR852274:IBY852274 ILN852274:ILU852274 IVJ852274:IVQ852274 JFF852274:JFM852274 JPB852274:JPI852274 JYX852274:JZE852274 KIT852274:KJA852274 KSP852274:KSW852274 LCL852274:LCS852274 LMH852274:LMO852274 LWD852274:LWK852274 MFZ852274:MGG852274 MPV852274:MQC852274 MZR852274:MZY852274 NJN852274:NJU852274 NTJ852274:NTQ852274 ODF852274:ODM852274 ONB852274:ONI852274 OWX852274:OXE852274 PGT852274:PHA852274 PQP852274:PQW852274 QAL852274:QAS852274 QKH852274:QKO852274 QUD852274:QUK852274 RDZ852274:REG852274 RNV852274:ROC852274 RXR852274:RXY852274 SHN852274:SHU852274 SRJ852274:SRQ852274 TBF852274:TBM852274 TLB852274:TLI852274 TUX852274:TVE852274 UET852274:UFA852274 UOP852274:UOW852274 UYL852274:UYS852274 VIH852274:VIO852274 VSD852274:VSK852274 WBZ852274:WCG852274 WLV852274:WMC852274 WVR852274:WVY852274 JF917810:JM917810 TB917810:TI917810 ACX917810:ADE917810 AMT917810:ANA917810 AWP917810:AWW917810 BGL917810:BGS917810 BQH917810:BQO917810 CAD917810:CAK917810 CJZ917810:CKG917810 CTV917810:CUC917810 DDR917810:DDY917810 DNN917810:DNU917810 DXJ917810:DXQ917810 EHF917810:EHM917810 ERB917810:ERI917810 FAX917810:FBE917810 FKT917810:FLA917810 FUP917810:FUW917810 GEL917810:GES917810 GOH917810:GOO917810 GYD917810:GYK917810 HHZ917810:HIG917810 HRV917810:HSC917810 IBR917810:IBY917810 ILN917810:ILU917810 IVJ917810:IVQ917810 JFF917810:JFM917810 JPB917810:JPI917810 JYX917810:JZE917810 KIT917810:KJA917810 KSP917810:KSW917810 LCL917810:LCS917810 LMH917810:LMO917810 LWD917810:LWK917810 MFZ917810:MGG917810 MPV917810:MQC917810 MZR917810:MZY917810 NJN917810:NJU917810 NTJ917810:NTQ917810 ODF917810:ODM917810 ONB917810:ONI917810 OWX917810:OXE917810 PGT917810:PHA917810 PQP917810:PQW917810 QAL917810:QAS917810 QKH917810:QKO917810 QUD917810:QUK917810 RDZ917810:REG917810 RNV917810:ROC917810 RXR917810:RXY917810 SHN917810:SHU917810 SRJ917810:SRQ917810 TBF917810:TBM917810 TLB917810:TLI917810 TUX917810:TVE917810 UET917810:UFA917810 UOP917810:UOW917810 UYL917810:UYS917810 VIH917810:VIO917810 VSD917810:VSK917810 WBZ917810:WCG917810 WLV917810:WMC917810 WVR917810:WVY917810 JF983346:JM983346 TB983346:TI983346 ACX983346:ADE983346 AMT983346:ANA983346 AWP983346:AWW983346 BGL983346:BGS983346 BQH983346:BQO983346 CAD983346:CAK983346 CJZ983346:CKG983346 CTV983346:CUC983346 DDR983346:DDY983346 DNN983346:DNU983346 DXJ983346:DXQ983346 EHF983346:EHM983346 ERB983346:ERI983346 FAX983346:FBE983346 FKT983346:FLA983346 FUP983346:FUW983346 GEL983346:GES983346 GOH983346:GOO983346 GYD983346:GYK983346 HHZ983346:HIG983346 HRV983346:HSC983346 IBR983346:IBY983346 ILN983346:ILU983346 IVJ983346:IVQ983346 JFF983346:JFM983346 JPB983346:JPI983346 JYX983346:JZE983346 KIT983346:KJA983346 KSP983346:KSW983346 LCL983346:LCS983346 LMH983346:LMO983346 LWD983346:LWK983346 MFZ983346:MGG983346 MPV983346:MQC983346 MZR983346:MZY983346 NJN983346:NJU983346 NTJ983346:NTQ983346 ODF983346:ODM983346 ONB983346:ONI983346 OWX983346:OXE983346 PGT983346:PHA983346 PQP983346:PQW983346 QAL983346:QAS983346 QKH983346:QKO983346 QUD983346:QUK983346 RDZ983346:REG983346 RNV983346:ROC983346 RXR983346:RXY983346 SHN983346:SHU983346 SRJ983346:SRQ983346 TBF983346:TBM983346 TLB983346:TLI983346 TUX983346:TVE983346 UET983346:UFA983346 UOP983346:UOW983346 UYL983346:UYS983346 VIH983346:VIO983346 VSD983346:VSK983346 WBZ983346:WCG983346 WLV983346:WMC983346 WVR983346:WVY983346 E302:E303 JD302:JD303 SZ302:SZ303 ACV302:ACV303 AMR302:AMR303 AWN302:AWN303 BGJ302:BGJ303 BQF302:BQF303 CAB302:CAB303 CJX302:CJX303 CTT302:CTT303 DDP302:DDP303 DNL302:DNL303 DXH302:DXH303 EHD302:EHD303 EQZ302:EQZ303 FAV302:FAV303 FKR302:FKR303 FUN302:FUN303 GEJ302:GEJ303 GOF302:GOF303 GYB302:GYB303 HHX302:HHX303 HRT302:HRT303 IBP302:IBP303 ILL302:ILL303 IVH302:IVH303 JFD302:JFD303 JOZ302:JOZ303 JYV302:JYV303 KIR302:KIR303 KSN302:KSN303 LCJ302:LCJ303 LMF302:LMF303 LWB302:LWB303 MFX302:MFX303 MPT302:MPT303 MZP302:MZP303 NJL302:NJL303 NTH302:NTH303 ODD302:ODD303 OMZ302:OMZ303 OWV302:OWV303 PGR302:PGR303 PQN302:PQN303 QAJ302:QAJ303 QKF302:QKF303 QUB302:QUB303 RDX302:RDX303 RNT302:RNT303 RXP302:RXP303 SHL302:SHL303 SRH302:SRH303 TBD302:TBD303 TKZ302:TKZ303 TUV302:TUV303 UER302:UER303 UON302:UON303 UYJ302:UYJ303 VIF302:VIF303 VSB302:VSB303 WBX302:WBX303 WLT302:WLT303 WVP302:WVP303 E65838:E65839 JD65838:JD65839 SZ65838:SZ65839 ACV65838:ACV65839 AMR65838:AMR65839 AWN65838:AWN65839 BGJ65838:BGJ65839 BQF65838:BQF65839 CAB65838:CAB65839 CJX65838:CJX65839 CTT65838:CTT65839 DDP65838:DDP65839 DNL65838:DNL65839 DXH65838:DXH65839 EHD65838:EHD65839 EQZ65838:EQZ65839 FAV65838:FAV65839 FKR65838:FKR65839 FUN65838:FUN65839 GEJ65838:GEJ65839 GOF65838:GOF65839 GYB65838:GYB65839 HHX65838:HHX65839 HRT65838:HRT65839 IBP65838:IBP65839 ILL65838:ILL65839 IVH65838:IVH65839 JFD65838:JFD65839 JOZ65838:JOZ65839 JYV65838:JYV65839 KIR65838:KIR65839 KSN65838:KSN65839 LCJ65838:LCJ65839 LMF65838:LMF65839 LWB65838:LWB65839 MFX65838:MFX65839 MPT65838:MPT65839 MZP65838:MZP65839 NJL65838:NJL65839 NTH65838:NTH65839 ODD65838:ODD65839 OMZ65838:OMZ65839 OWV65838:OWV65839 PGR65838:PGR65839 PQN65838:PQN65839 QAJ65838:QAJ65839 QKF65838:QKF65839 QUB65838:QUB65839 RDX65838:RDX65839 RNT65838:RNT65839 RXP65838:RXP65839 SHL65838:SHL65839 SRH65838:SRH65839 TBD65838:TBD65839 TKZ65838:TKZ65839 TUV65838:TUV65839 UER65838:UER65839 UON65838:UON65839 UYJ65838:UYJ65839 VIF65838:VIF65839 VSB65838:VSB65839 WBX65838:WBX65839 WLT65838:WLT65839 WVP65838:WVP65839 E131374:E131375 JD131374:JD131375 SZ131374:SZ131375 ACV131374:ACV131375 AMR131374:AMR131375 AWN131374:AWN131375 BGJ131374:BGJ131375 BQF131374:BQF131375 CAB131374:CAB131375 CJX131374:CJX131375 CTT131374:CTT131375 DDP131374:DDP131375 DNL131374:DNL131375 DXH131374:DXH131375 EHD131374:EHD131375 EQZ131374:EQZ131375 FAV131374:FAV131375 FKR131374:FKR131375 FUN131374:FUN131375 GEJ131374:GEJ131375 GOF131374:GOF131375 GYB131374:GYB131375 HHX131374:HHX131375 HRT131374:HRT131375 IBP131374:IBP131375 ILL131374:ILL131375 IVH131374:IVH131375 JFD131374:JFD131375 JOZ131374:JOZ131375 JYV131374:JYV131375 KIR131374:KIR131375 KSN131374:KSN131375 LCJ131374:LCJ131375 LMF131374:LMF131375 LWB131374:LWB131375 MFX131374:MFX131375 MPT131374:MPT131375 MZP131374:MZP131375 NJL131374:NJL131375 NTH131374:NTH131375 ODD131374:ODD131375 OMZ131374:OMZ131375 OWV131374:OWV131375 PGR131374:PGR131375 PQN131374:PQN131375 QAJ131374:QAJ131375 QKF131374:QKF131375 QUB131374:QUB131375 RDX131374:RDX131375 RNT131374:RNT131375 RXP131374:RXP131375 SHL131374:SHL131375 SRH131374:SRH131375 TBD131374:TBD131375 TKZ131374:TKZ131375 TUV131374:TUV131375 UER131374:UER131375 UON131374:UON131375 UYJ131374:UYJ131375 VIF131374:VIF131375 VSB131374:VSB131375 WBX131374:WBX131375 WLT131374:WLT131375 WVP131374:WVP131375 E196910:E196911 JD196910:JD196911 SZ196910:SZ196911 ACV196910:ACV196911 AMR196910:AMR196911 AWN196910:AWN196911 BGJ196910:BGJ196911 BQF196910:BQF196911 CAB196910:CAB196911 CJX196910:CJX196911 CTT196910:CTT196911 DDP196910:DDP196911 DNL196910:DNL196911 DXH196910:DXH196911 EHD196910:EHD196911 EQZ196910:EQZ196911 FAV196910:FAV196911 FKR196910:FKR196911 FUN196910:FUN196911 GEJ196910:GEJ196911 GOF196910:GOF196911 GYB196910:GYB196911 HHX196910:HHX196911 HRT196910:HRT196911 IBP196910:IBP196911 ILL196910:ILL196911 IVH196910:IVH196911 JFD196910:JFD196911 JOZ196910:JOZ196911 JYV196910:JYV196911 KIR196910:KIR196911 KSN196910:KSN196911 LCJ196910:LCJ196911 LMF196910:LMF196911 LWB196910:LWB196911 MFX196910:MFX196911 MPT196910:MPT196911 MZP196910:MZP196911 NJL196910:NJL196911 NTH196910:NTH196911 ODD196910:ODD196911 OMZ196910:OMZ196911 OWV196910:OWV196911 PGR196910:PGR196911 PQN196910:PQN196911 QAJ196910:QAJ196911 QKF196910:QKF196911 QUB196910:QUB196911 RDX196910:RDX196911 RNT196910:RNT196911 RXP196910:RXP196911 SHL196910:SHL196911 SRH196910:SRH196911 TBD196910:TBD196911 TKZ196910:TKZ196911 TUV196910:TUV196911 UER196910:UER196911 UON196910:UON196911 UYJ196910:UYJ196911 VIF196910:VIF196911 VSB196910:VSB196911 WBX196910:WBX196911 WLT196910:WLT196911 WVP196910:WVP196911 E262446:E262447 JD262446:JD262447 SZ262446:SZ262447 ACV262446:ACV262447 AMR262446:AMR262447 AWN262446:AWN262447 BGJ262446:BGJ262447 BQF262446:BQF262447 CAB262446:CAB262447 CJX262446:CJX262447 CTT262446:CTT262447 DDP262446:DDP262447 DNL262446:DNL262447 DXH262446:DXH262447 EHD262446:EHD262447 EQZ262446:EQZ262447 FAV262446:FAV262447 FKR262446:FKR262447 FUN262446:FUN262447 GEJ262446:GEJ262447 GOF262446:GOF262447 GYB262446:GYB262447 HHX262446:HHX262447 HRT262446:HRT262447 IBP262446:IBP262447 ILL262446:ILL262447 IVH262446:IVH262447 JFD262446:JFD262447 JOZ262446:JOZ262447 JYV262446:JYV262447 KIR262446:KIR262447 KSN262446:KSN262447 LCJ262446:LCJ262447 LMF262446:LMF262447 LWB262446:LWB262447 MFX262446:MFX262447 MPT262446:MPT262447 MZP262446:MZP262447 NJL262446:NJL262447 NTH262446:NTH262447 ODD262446:ODD262447 OMZ262446:OMZ262447 OWV262446:OWV262447 PGR262446:PGR262447 PQN262446:PQN262447 QAJ262446:QAJ262447 QKF262446:QKF262447 QUB262446:QUB262447 RDX262446:RDX262447 RNT262446:RNT262447 RXP262446:RXP262447 SHL262446:SHL262447 SRH262446:SRH262447 TBD262446:TBD262447 TKZ262446:TKZ262447 TUV262446:TUV262447 UER262446:UER262447 UON262446:UON262447 UYJ262446:UYJ262447 VIF262446:VIF262447 VSB262446:VSB262447 WBX262446:WBX262447 WLT262446:WLT262447 WVP262446:WVP262447 E327982:E327983 JD327982:JD327983 SZ327982:SZ327983 ACV327982:ACV327983 AMR327982:AMR327983 AWN327982:AWN327983 BGJ327982:BGJ327983 BQF327982:BQF327983 CAB327982:CAB327983 CJX327982:CJX327983 CTT327982:CTT327983 DDP327982:DDP327983 DNL327982:DNL327983 DXH327982:DXH327983 EHD327982:EHD327983 EQZ327982:EQZ327983 FAV327982:FAV327983 FKR327982:FKR327983 FUN327982:FUN327983 GEJ327982:GEJ327983 GOF327982:GOF327983 GYB327982:GYB327983 HHX327982:HHX327983 HRT327982:HRT327983 IBP327982:IBP327983 ILL327982:ILL327983 IVH327982:IVH327983 JFD327982:JFD327983 JOZ327982:JOZ327983 JYV327982:JYV327983 KIR327982:KIR327983 KSN327982:KSN327983 LCJ327982:LCJ327983 LMF327982:LMF327983 LWB327982:LWB327983 MFX327982:MFX327983 MPT327982:MPT327983 MZP327982:MZP327983 NJL327982:NJL327983 NTH327982:NTH327983 ODD327982:ODD327983 OMZ327982:OMZ327983 OWV327982:OWV327983 PGR327982:PGR327983 PQN327982:PQN327983 QAJ327982:QAJ327983 QKF327982:QKF327983 QUB327982:QUB327983 RDX327982:RDX327983 RNT327982:RNT327983 RXP327982:RXP327983 SHL327982:SHL327983 SRH327982:SRH327983 TBD327982:TBD327983 TKZ327982:TKZ327983 TUV327982:TUV327983 UER327982:UER327983 UON327982:UON327983 UYJ327982:UYJ327983 VIF327982:VIF327983 VSB327982:VSB327983 WBX327982:WBX327983 WLT327982:WLT327983 WVP327982:WVP327983 E393518:E393519 JD393518:JD393519 SZ393518:SZ393519 ACV393518:ACV393519 AMR393518:AMR393519 AWN393518:AWN393519 BGJ393518:BGJ393519 BQF393518:BQF393519 CAB393518:CAB393519 CJX393518:CJX393519 CTT393518:CTT393519 DDP393518:DDP393519 DNL393518:DNL393519 DXH393518:DXH393519 EHD393518:EHD393519 EQZ393518:EQZ393519 FAV393518:FAV393519 FKR393518:FKR393519 FUN393518:FUN393519 GEJ393518:GEJ393519 GOF393518:GOF393519 GYB393518:GYB393519 HHX393518:HHX393519 HRT393518:HRT393519 IBP393518:IBP393519 ILL393518:ILL393519 IVH393518:IVH393519 JFD393518:JFD393519 JOZ393518:JOZ393519 JYV393518:JYV393519 KIR393518:KIR393519 KSN393518:KSN393519 LCJ393518:LCJ393519 LMF393518:LMF393519 LWB393518:LWB393519 MFX393518:MFX393519 MPT393518:MPT393519 MZP393518:MZP393519 NJL393518:NJL393519 NTH393518:NTH393519 ODD393518:ODD393519 OMZ393518:OMZ393519 OWV393518:OWV393519 PGR393518:PGR393519 PQN393518:PQN393519 QAJ393518:QAJ393519 QKF393518:QKF393519 QUB393518:QUB393519 RDX393518:RDX393519 RNT393518:RNT393519 RXP393518:RXP393519 SHL393518:SHL393519 SRH393518:SRH393519 TBD393518:TBD393519 TKZ393518:TKZ393519 TUV393518:TUV393519 UER393518:UER393519 UON393518:UON393519 UYJ393518:UYJ393519 VIF393518:VIF393519 VSB393518:VSB393519 WBX393518:WBX393519 WLT393518:WLT393519 WVP393518:WVP393519 E459054:E459055 JD459054:JD459055 SZ459054:SZ459055 ACV459054:ACV459055 AMR459054:AMR459055 AWN459054:AWN459055 BGJ459054:BGJ459055 BQF459054:BQF459055 CAB459054:CAB459055 CJX459054:CJX459055 CTT459054:CTT459055 DDP459054:DDP459055 DNL459054:DNL459055 DXH459054:DXH459055 EHD459054:EHD459055 EQZ459054:EQZ459055 FAV459054:FAV459055 FKR459054:FKR459055 FUN459054:FUN459055 GEJ459054:GEJ459055 GOF459054:GOF459055 GYB459054:GYB459055 HHX459054:HHX459055 HRT459054:HRT459055 IBP459054:IBP459055 ILL459054:ILL459055 IVH459054:IVH459055 JFD459054:JFD459055 JOZ459054:JOZ459055 JYV459054:JYV459055 KIR459054:KIR459055 KSN459054:KSN459055 LCJ459054:LCJ459055 LMF459054:LMF459055 LWB459054:LWB459055 MFX459054:MFX459055 MPT459054:MPT459055 MZP459054:MZP459055 NJL459054:NJL459055 NTH459054:NTH459055 ODD459054:ODD459055 OMZ459054:OMZ459055 OWV459054:OWV459055 PGR459054:PGR459055 PQN459054:PQN459055 QAJ459054:QAJ459055 QKF459054:QKF459055 QUB459054:QUB459055 RDX459054:RDX459055 RNT459054:RNT459055 RXP459054:RXP459055 SHL459054:SHL459055 SRH459054:SRH459055 TBD459054:TBD459055 TKZ459054:TKZ459055 TUV459054:TUV459055 UER459054:UER459055 UON459054:UON459055 UYJ459054:UYJ459055 VIF459054:VIF459055 VSB459054:VSB459055 WBX459054:WBX459055 WLT459054:WLT459055 WVP459054:WVP459055 E524590:E524591 JD524590:JD524591 SZ524590:SZ524591 ACV524590:ACV524591 AMR524590:AMR524591 AWN524590:AWN524591 BGJ524590:BGJ524591 BQF524590:BQF524591 CAB524590:CAB524591 CJX524590:CJX524591 CTT524590:CTT524591 DDP524590:DDP524591 DNL524590:DNL524591 DXH524590:DXH524591 EHD524590:EHD524591 EQZ524590:EQZ524591 FAV524590:FAV524591 FKR524590:FKR524591 FUN524590:FUN524591 GEJ524590:GEJ524591 GOF524590:GOF524591 GYB524590:GYB524591 HHX524590:HHX524591 HRT524590:HRT524591 IBP524590:IBP524591 ILL524590:ILL524591 IVH524590:IVH524591 JFD524590:JFD524591 JOZ524590:JOZ524591 JYV524590:JYV524591 KIR524590:KIR524591 KSN524590:KSN524591 LCJ524590:LCJ524591 LMF524590:LMF524591 LWB524590:LWB524591 MFX524590:MFX524591 MPT524590:MPT524591 MZP524590:MZP524591 NJL524590:NJL524591 NTH524590:NTH524591 ODD524590:ODD524591 OMZ524590:OMZ524591 OWV524590:OWV524591 PGR524590:PGR524591 PQN524590:PQN524591 QAJ524590:QAJ524591 QKF524590:QKF524591 QUB524590:QUB524591 RDX524590:RDX524591 RNT524590:RNT524591 RXP524590:RXP524591 SHL524590:SHL524591 SRH524590:SRH524591 TBD524590:TBD524591 TKZ524590:TKZ524591 TUV524590:TUV524591 UER524590:UER524591 UON524590:UON524591 UYJ524590:UYJ524591 VIF524590:VIF524591 VSB524590:VSB524591 WBX524590:WBX524591 WLT524590:WLT524591 WVP524590:WVP524591 E590126:E590127 JD590126:JD590127 SZ590126:SZ590127 ACV590126:ACV590127 AMR590126:AMR590127 AWN590126:AWN590127 BGJ590126:BGJ590127 BQF590126:BQF590127 CAB590126:CAB590127 CJX590126:CJX590127 CTT590126:CTT590127 DDP590126:DDP590127 DNL590126:DNL590127 DXH590126:DXH590127 EHD590126:EHD590127 EQZ590126:EQZ590127 FAV590126:FAV590127 FKR590126:FKR590127 FUN590126:FUN590127 GEJ590126:GEJ590127 GOF590126:GOF590127 GYB590126:GYB590127 HHX590126:HHX590127 HRT590126:HRT590127 IBP590126:IBP590127 ILL590126:ILL590127 IVH590126:IVH590127 JFD590126:JFD590127 JOZ590126:JOZ590127 JYV590126:JYV590127 KIR590126:KIR590127 KSN590126:KSN590127 LCJ590126:LCJ590127 LMF590126:LMF590127 LWB590126:LWB590127 MFX590126:MFX590127 MPT590126:MPT590127 MZP590126:MZP590127 NJL590126:NJL590127 NTH590126:NTH590127 ODD590126:ODD590127 OMZ590126:OMZ590127 OWV590126:OWV590127 PGR590126:PGR590127 PQN590126:PQN590127 QAJ590126:QAJ590127 QKF590126:QKF590127 QUB590126:QUB590127 RDX590126:RDX590127 RNT590126:RNT590127 RXP590126:RXP590127 SHL590126:SHL590127 SRH590126:SRH590127 TBD590126:TBD590127 TKZ590126:TKZ590127 TUV590126:TUV590127 UER590126:UER590127 UON590126:UON590127 UYJ590126:UYJ590127 VIF590126:VIF590127 VSB590126:VSB590127 WBX590126:WBX590127 WLT590126:WLT590127 WVP590126:WVP590127 E655662:E655663 JD655662:JD655663 SZ655662:SZ655663 ACV655662:ACV655663 AMR655662:AMR655663 AWN655662:AWN655663 BGJ655662:BGJ655663 BQF655662:BQF655663 CAB655662:CAB655663 CJX655662:CJX655663 CTT655662:CTT655663 DDP655662:DDP655663 DNL655662:DNL655663 DXH655662:DXH655663 EHD655662:EHD655663 EQZ655662:EQZ655663 FAV655662:FAV655663 FKR655662:FKR655663 FUN655662:FUN655663 GEJ655662:GEJ655663 GOF655662:GOF655663 GYB655662:GYB655663 HHX655662:HHX655663 HRT655662:HRT655663 IBP655662:IBP655663 ILL655662:ILL655663 IVH655662:IVH655663 JFD655662:JFD655663 JOZ655662:JOZ655663 JYV655662:JYV655663 KIR655662:KIR655663 KSN655662:KSN655663 LCJ655662:LCJ655663 LMF655662:LMF655663 LWB655662:LWB655663 MFX655662:MFX655663 MPT655662:MPT655663 MZP655662:MZP655663 NJL655662:NJL655663 NTH655662:NTH655663 ODD655662:ODD655663 OMZ655662:OMZ655663 OWV655662:OWV655663 PGR655662:PGR655663 PQN655662:PQN655663 QAJ655662:QAJ655663 QKF655662:QKF655663 QUB655662:QUB655663 RDX655662:RDX655663 RNT655662:RNT655663 RXP655662:RXP655663 SHL655662:SHL655663 SRH655662:SRH655663 TBD655662:TBD655663 TKZ655662:TKZ655663 TUV655662:TUV655663 UER655662:UER655663 UON655662:UON655663 UYJ655662:UYJ655663 VIF655662:VIF655663 VSB655662:VSB655663 WBX655662:WBX655663 WLT655662:WLT655663 WVP655662:WVP655663 E721198:E721199 JD721198:JD721199 SZ721198:SZ721199 ACV721198:ACV721199 AMR721198:AMR721199 AWN721198:AWN721199 BGJ721198:BGJ721199 BQF721198:BQF721199 CAB721198:CAB721199 CJX721198:CJX721199 CTT721198:CTT721199 DDP721198:DDP721199 DNL721198:DNL721199 DXH721198:DXH721199 EHD721198:EHD721199 EQZ721198:EQZ721199 FAV721198:FAV721199 FKR721198:FKR721199 FUN721198:FUN721199 GEJ721198:GEJ721199 GOF721198:GOF721199 GYB721198:GYB721199 HHX721198:HHX721199 HRT721198:HRT721199 IBP721198:IBP721199 ILL721198:ILL721199 IVH721198:IVH721199 JFD721198:JFD721199 JOZ721198:JOZ721199 JYV721198:JYV721199 KIR721198:KIR721199 KSN721198:KSN721199 LCJ721198:LCJ721199 LMF721198:LMF721199 LWB721198:LWB721199 MFX721198:MFX721199 MPT721198:MPT721199 MZP721198:MZP721199 NJL721198:NJL721199 NTH721198:NTH721199 ODD721198:ODD721199 OMZ721198:OMZ721199 OWV721198:OWV721199 PGR721198:PGR721199 PQN721198:PQN721199 QAJ721198:QAJ721199 QKF721198:QKF721199 QUB721198:QUB721199 RDX721198:RDX721199 RNT721198:RNT721199 RXP721198:RXP721199 SHL721198:SHL721199 SRH721198:SRH721199 TBD721198:TBD721199 TKZ721198:TKZ721199 TUV721198:TUV721199 UER721198:UER721199 UON721198:UON721199 UYJ721198:UYJ721199 VIF721198:VIF721199 VSB721198:VSB721199 WBX721198:WBX721199 WLT721198:WLT721199 WVP721198:WVP721199 E786734:E786735 JD786734:JD786735 SZ786734:SZ786735 ACV786734:ACV786735 AMR786734:AMR786735 AWN786734:AWN786735 BGJ786734:BGJ786735 BQF786734:BQF786735 CAB786734:CAB786735 CJX786734:CJX786735 CTT786734:CTT786735 DDP786734:DDP786735 DNL786734:DNL786735 DXH786734:DXH786735 EHD786734:EHD786735 EQZ786734:EQZ786735 FAV786734:FAV786735 FKR786734:FKR786735 FUN786734:FUN786735 GEJ786734:GEJ786735 GOF786734:GOF786735 GYB786734:GYB786735 HHX786734:HHX786735 HRT786734:HRT786735 IBP786734:IBP786735 ILL786734:ILL786735 IVH786734:IVH786735 JFD786734:JFD786735 JOZ786734:JOZ786735 JYV786734:JYV786735 KIR786734:KIR786735 KSN786734:KSN786735 LCJ786734:LCJ786735 LMF786734:LMF786735 LWB786734:LWB786735 MFX786734:MFX786735 MPT786734:MPT786735 MZP786734:MZP786735 NJL786734:NJL786735 NTH786734:NTH786735 ODD786734:ODD786735 OMZ786734:OMZ786735 OWV786734:OWV786735 PGR786734:PGR786735 PQN786734:PQN786735 QAJ786734:QAJ786735 QKF786734:QKF786735 QUB786734:QUB786735 RDX786734:RDX786735 RNT786734:RNT786735 RXP786734:RXP786735 SHL786734:SHL786735 SRH786734:SRH786735 TBD786734:TBD786735 TKZ786734:TKZ786735 TUV786734:TUV786735 UER786734:UER786735 UON786734:UON786735 UYJ786734:UYJ786735 VIF786734:VIF786735 VSB786734:VSB786735 WBX786734:WBX786735 WLT786734:WLT786735 WVP786734:WVP786735 E852270:E852271 JD852270:JD852271 SZ852270:SZ852271 ACV852270:ACV852271 AMR852270:AMR852271 AWN852270:AWN852271 BGJ852270:BGJ852271 BQF852270:BQF852271 CAB852270:CAB852271 CJX852270:CJX852271 CTT852270:CTT852271 DDP852270:DDP852271 DNL852270:DNL852271 DXH852270:DXH852271 EHD852270:EHD852271 EQZ852270:EQZ852271 FAV852270:FAV852271 FKR852270:FKR852271 FUN852270:FUN852271 GEJ852270:GEJ852271 GOF852270:GOF852271 GYB852270:GYB852271 HHX852270:HHX852271 HRT852270:HRT852271 IBP852270:IBP852271 ILL852270:ILL852271 IVH852270:IVH852271 JFD852270:JFD852271 JOZ852270:JOZ852271 JYV852270:JYV852271 KIR852270:KIR852271 KSN852270:KSN852271 LCJ852270:LCJ852271 LMF852270:LMF852271 LWB852270:LWB852271 MFX852270:MFX852271 MPT852270:MPT852271 MZP852270:MZP852271 NJL852270:NJL852271 NTH852270:NTH852271 ODD852270:ODD852271 OMZ852270:OMZ852271 OWV852270:OWV852271 PGR852270:PGR852271 PQN852270:PQN852271 QAJ852270:QAJ852271 QKF852270:QKF852271 QUB852270:QUB852271 RDX852270:RDX852271 RNT852270:RNT852271 RXP852270:RXP852271 SHL852270:SHL852271 SRH852270:SRH852271 TBD852270:TBD852271 TKZ852270:TKZ852271 TUV852270:TUV852271 UER852270:UER852271 UON852270:UON852271 UYJ852270:UYJ852271 VIF852270:VIF852271 VSB852270:VSB852271 WBX852270:WBX852271 WLT852270:WLT852271 WVP852270:WVP852271 E917806:E917807 JD917806:JD917807 SZ917806:SZ917807 ACV917806:ACV917807 AMR917806:AMR917807 AWN917806:AWN917807 BGJ917806:BGJ917807 BQF917806:BQF917807 CAB917806:CAB917807 CJX917806:CJX917807 CTT917806:CTT917807 DDP917806:DDP917807 DNL917806:DNL917807 DXH917806:DXH917807 EHD917806:EHD917807 EQZ917806:EQZ917807 FAV917806:FAV917807 FKR917806:FKR917807 FUN917806:FUN917807 GEJ917806:GEJ917807 GOF917806:GOF917807 GYB917806:GYB917807 HHX917806:HHX917807 HRT917806:HRT917807 IBP917806:IBP917807 ILL917806:ILL917807 IVH917806:IVH917807 JFD917806:JFD917807 JOZ917806:JOZ917807 JYV917806:JYV917807 KIR917806:KIR917807 KSN917806:KSN917807 LCJ917806:LCJ917807 LMF917806:LMF917807 LWB917806:LWB917807 MFX917806:MFX917807 MPT917806:MPT917807 MZP917806:MZP917807 NJL917806:NJL917807 NTH917806:NTH917807 ODD917806:ODD917807 OMZ917806:OMZ917807 OWV917806:OWV917807 PGR917806:PGR917807 PQN917806:PQN917807 QAJ917806:QAJ917807 QKF917806:QKF917807 QUB917806:QUB917807 RDX917806:RDX917807 RNT917806:RNT917807 RXP917806:RXP917807 SHL917806:SHL917807 SRH917806:SRH917807 TBD917806:TBD917807 TKZ917806:TKZ917807 TUV917806:TUV917807 UER917806:UER917807 UON917806:UON917807 UYJ917806:UYJ917807 VIF917806:VIF917807 VSB917806:VSB917807 WBX917806:WBX917807 WLT917806:WLT917807 WVP917806:WVP917807 E983342:E983343 JD983342:JD983343 SZ983342:SZ983343 ACV983342:ACV983343 AMR983342:AMR983343 AWN983342:AWN983343 BGJ983342:BGJ983343 BQF983342:BQF983343 CAB983342:CAB983343 CJX983342:CJX983343 CTT983342:CTT983343 DDP983342:DDP983343 DNL983342:DNL983343 DXH983342:DXH983343 EHD983342:EHD983343 EQZ983342:EQZ983343 FAV983342:FAV983343 FKR983342:FKR983343 FUN983342:FUN983343 GEJ983342:GEJ983343 GOF983342:GOF983343 GYB983342:GYB983343 HHX983342:HHX983343 HRT983342:HRT983343 IBP983342:IBP983343 ILL983342:ILL983343 IVH983342:IVH983343 JFD983342:JFD983343 JOZ983342:JOZ983343 JYV983342:JYV983343 KIR983342:KIR983343 KSN983342:KSN983343 LCJ983342:LCJ983343 LMF983342:LMF983343 LWB983342:LWB983343 MFX983342:MFX983343 MPT983342:MPT983343 MZP983342:MZP983343 NJL983342:NJL983343 NTH983342:NTH983343 ODD983342:ODD983343 OMZ983342:OMZ983343 OWV983342:OWV983343 PGR983342:PGR983343 PQN983342:PQN983343 QAJ983342:QAJ983343 QKF983342:QKF983343 QUB983342:QUB983343 RDX983342:RDX983343 RNT983342:RNT983343 RXP983342:RXP983343 SHL983342:SHL983343 SRH983342:SRH983343 TBD983342:TBD983343 TKZ983342:TKZ983343 TUV983342:TUV983343 UER983342:UER983343 UON983342:UON983343 UYJ983342:UYJ983343 VIF983342:VIF983343 VSB983342:VSB983343 WBX983342:WBX983343 WLT983342:WLT983343 WVP983342:WVP983343 JF90:JM90 TB90:TI90 ACX90:ADE90 AMT90:ANA90 AWP90:AWW90 BGL90:BGS90 BQH90:BQO90 CAD90:CAK90 CJZ90:CKG90 CTV90:CUC90 DDR90:DDY90 DNN90:DNU90 DXJ90:DXQ90 EHF90:EHM90 ERB90:ERI90 FAX90:FBE90 FKT90:FLA90 FUP90:FUW90 GEL90:GES90 GOH90:GOO90 GYD90:GYK90 HHZ90:HIG90 HRV90:HSC90 IBR90:IBY90 ILN90:ILU90 IVJ90:IVQ90 JFF90:JFM90 JPB90:JPI90 JYX90:JZE90 KIT90:KJA90 KSP90:KSW90 LCL90:LCS90 LMH90:LMO90 LWD90:LWK90 MFZ90:MGG90 MPV90:MQC90 MZR90:MZY90 NJN90:NJU90 NTJ90:NTQ90 ODF90:ODM90 ONB90:ONI90 OWX90:OXE90 PGT90:PHA90 PQP90:PQW90 QAL90:QAS90 QKH90:QKO90 QUD90:QUK90 RDZ90:REG90 RNV90:ROC90 RXR90:RXY90 SHN90:SHU90 SRJ90:SRQ90 TBF90:TBM90 TLB90:TLI90 TUX90:TVE90 UET90:UFA90 UOP90:UOW90 UYL90:UYS90 VIH90:VIO90 VSD90:VSK90 WBZ90:WCG90 WLV90:WMC90 WVR90:WVY90 JF65626:JM65626 TB65626:TI65626 ACX65626:ADE65626 AMT65626:ANA65626 AWP65626:AWW65626 BGL65626:BGS65626 BQH65626:BQO65626 CAD65626:CAK65626 CJZ65626:CKG65626 CTV65626:CUC65626 DDR65626:DDY65626 DNN65626:DNU65626 DXJ65626:DXQ65626 EHF65626:EHM65626 ERB65626:ERI65626 FAX65626:FBE65626 FKT65626:FLA65626 FUP65626:FUW65626 GEL65626:GES65626 GOH65626:GOO65626 GYD65626:GYK65626 HHZ65626:HIG65626 HRV65626:HSC65626 IBR65626:IBY65626 ILN65626:ILU65626 IVJ65626:IVQ65626 JFF65626:JFM65626 JPB65626:JPI65626 JYX65626:JZE65626 KIT65626:KJA65626 KSP65626:KSW65626 LCL65626:LCS65626 LMH65626:LMO65626 LWD65626:LWK65626 MFZ65626:MGG65626 MPV65626:MQC65626 MZR65626:MZY65626 NJN65626:NJU65626 NTJ65626:NTQ65626 ODF65626:ODM65626 ONB65626:ONI65626 OWX65626:OXE65626 PGT65626:PHA65626 PQP65626:PQW65626 QAL65626:QAS65626 QKH65626:QKO65626 QUD65626:QUK65626 RDZ65626:REG65626 RNV65626:ROC65626 RXR65626:RXY65626 SHN65626:SHU65626 SRJ65626:SRQ65626 TBF65626:TBM65626 TLB65626:TLI65626 TUX65626:TVE65626 UET65626:UFA65626 UOP65626:UOW65626 UYL65626:UYS65626 VIH65626:VIO65626 VSD65626:VSK65626 WBZ65626:WCG65626 WLV65626:WMC65626 WVR65626:WVY65626 JF131162:JM131162 TB131162:TI131162 ACX131162:ADE131162 AMT131162:ANA131162 AWP131162:AWW131162 BGL131162:BGS131162 BQH131162:BQO131162 CAD131162:CAK131162 CJZ131162:CKG131162 CTV131162:CUC131162 DDR131162:DDY131162 DNN131162:DNU131162 DXJ131162:DXQ131162 EHF131162:EHM131162 ERB131162:ERI131162 FAX131162:FBE131162 FKT131162:FLA131162 FUP131162:FUW131162 GEL131162:GES131162 GOH131162:GOO131162 GYD131162:GYK131162 HHZ131162:HIG131162 HRV131162:HSC131162 IBR131162:IBY131162 ILN131162:ILU131162 IVJ131162:IVQ131162 JFF131162:JFM131162 JPB131162:JPI131162 JYX131162:JZE131162 KIT131162:KJA131162 KSP131162:KSW131162 LCL131162:LCS131162 LMH131162:LMO131162 LWD131162:LWK131162 MFZ131162:MGG131162 MPV131162:MQC131162 MZR131162:MZY131162 NJN131162:NJU131162 NTJ131162:NTQ131162 ODF131162:ODM131162 ONB131162:ONI131162 OWX131162:OXE131162 PGT131162:PHA131162 PQP131162:PQW131162 QAL131162:QAS131162 QKH131162:QKO131162 QUD131162:QUK131162 RDZ131162:REG131162 RNV131162:ROC131162 RXR131162:RXY131162 SHN131162:SHU131162 SRJ131162:SRQ131162 TBF131162:TBM131162 TLB131162:TLI131162 TUX131162:TVE131162 UET131162:UFA131162 UOP131162:UOW131162 UYL131162:UYS131162 VIH131162:VIO131162 VSD131162:VSK131162 WBZ131162:WCG131162 WLV131162:WMC131162 WVR131162:WVY131162 JF196698:JM196698 TB196698:TI196698 ACX196698:ADE196698 AMT196698:ANA196698 AWP196698:AWW196698 BGL196698:BGS196698 BQH196698:BQO196698 CAD196698:CAK196698 CJZ196698:CKG196698 CTV196698:CUC196698 DDR196698:DDY196698 DNN196698:DNU196698 DXJ196698:DXQ196698 EHF196698:EHM196698 ERB196698:ERI196698 FAX196698:FBE196698 FKT196698:FLA196698 FUP196698:FUW196698 GEL196698:GES196698 GOH196698:GOO196698 GYD196698:GYK196698 HHZ196698:HIG196698 HRV196698:HSC196698 IBR196698:IBY196698 ILN196698:ILU196698 IVJ196698:IVQ196698 JFF196698:JFM196698 JPB196698:JPI196698 JYX196698:JZE196698 KIT196698:KJA196698 KSP196698:KSW196698 LCL196698:LCS196698 LMH196698:LMO196698 LWD196698:LWK196698 MFZ196698:MGG196698 MPV196698:MQC196698 MZR196698:MZY196698 NJN196698:NJU196698 NTJ196698:NTQ196698 ODF196698:ODM196698 ONB196698:ONI196698 OWX196698:OXE196698 PGT196698:PHA196698 PQP196698:PQW196698 QAL196698:QAS196698 QKH196698:QKO196698 QUD196698:QUK196698 RDZ196698:REG196698 RNV196698:ROC196698 RXR196698:RXY196698 SHN196698:SHU196698 SRJ196698:SRQ196698 TBF196698:TBM196698 TLB196698:TLI196698 TUX196698:TVE196698 UET196698:UFA196698 UOP196698:UOW196698 UYL196698:UYS196698 VIH196698:VIO196698 VSD196698:VSK196698 WBZ196698:WCG196698 WLV196698:WMC196698 WVR196698:WVY196698 JF262234:JM262234 TB262234:TI262234 ACX262234:ADE262234 AMT262234:ANA262234 AWP262234:AWW262234 BGL262234:BGS262234 BQH262234:BQO262234 CAD262234:CAK262234 CJZ262234:CKG262234 CTV262234:CUC262234 DDR262234:DDY262234 DNN262234:DNU262234 DXJ262234:DXQ262234 EHF262234:EHM262234 ERB262234:ERI262234 FAX262234:FBE262234 FKT262234:FLA262234 FUP262234:FUW262234 GEL262234:GES262234 GOH262234:GOO262234 GYD262234:GYK262234 HHZ262234:HIG262234 HRV262234:HSC262234 IBR262234:IBY262234 ILN262234:ILU262234 IVJ262234:IVQ262234 JFF262234:JFM262234 JPB262234:JPI262234 JYX262234:JZE262234 KIT262234:KJA262234 KSP262234:KSW262234 LCL262234:LCS262234 LMH262234:LMO262234 LWD262234:LWK262234 MFZ262234:MGG262234 MPV262234:MQC262234 MZR262234:MZY262234 NJN262234:NJU262234 NTJ262234:NTQ262234 ODF262234:ODM262234 ONB262234:ONI262234 OWX262234:OXE262234 PGT262234:PHA262234 PQP262234:PQW262234 QAL262234:QAS262234 QKH262234:QKO262234 QUD262234:QUK262234 RDZ262234:REG262234 RNV262234:ROC262234 RXR262234:RXY262234 SHN262234:SHU262234 SRJ262234:SRQ262234 TBF262234:TBM262234 TLB262234:TLI262234 TUX262234:TVE262234 UET262234:UFA262234 UOP262234:UOW262234 UYL262234:UYS262234 VIH262234:VIO262234 VSD262234:VSK262234 WBZ262234:WCG262234 WLV262234:WMC262234 WVR262234:WVY262234 JF327770:JM327770 TB327770:TI327770 ACX327770:ADE327770 AMT327770:ANA327770 AWP327770:AWW327770 BGL327770:BGS327770 BQH327770:BQO327770 CAD327770:CAK327770 CJZ327770:CKG327770 CTV327770:CUC327770 DDR327770:DDY327770 DNN327770:DNU327770 DXJ327770:DXQ327770 EHF327770:EHM327770 ERB327770:ERI327770 FAX327770:FBE327770 FKT327770:FLA327770 FUP327770:FUW327770 GEL327770:GES327770 GOH327770:GOO327770 GYD327770:GYK327770 HHZ327770:HIG327770 HRV327770:HSC327770 IBR327770:IBY327770 ILN327770:ILU327770 IVJ327770:IVQ327770 JFF327770:JFM327770 JPB327770:JPI327770 JYX327770:JZE327770 KIT327770:KJA327770 KSP327770:KSW327770 LCL327770:LCS327770 LMH327770:LMO327770 LWD327770:LWK327770 MFZ327770:MGG327770 MPV327770:MQC327770 MZR327770:MZY327770 NJN327770:NJU327770 NTJ327770:NTQ327770 ODF327770:ODM327770 ONB327770:ONI327770 OWX327770:OXE327770 PGT327770:PHA327770 PQP327770:PQW327770 QAL327770:QAS327770 QKH327770:QKO327770 QUD327770:QUK327770 RDZ327770:REG327770 RNV327770:ROC327770 RXR327770:RXY327770 SHN327770:SHU327770 SRJ327770:SRQ327770 TBF327770:TBM327770 TLB327770:TLI327770 TUX327770:TVE327770 UET327770:UFA327770 UOP327770:UOW327770 UYL327770:UYS327770 VIH327770:VIO327770 VSD327770:VSK327770 WBZ327770:WCG327770 WLV327770:WMC327770 WVR327770:WVY327770 JF393306:JM393306 TB393306:TI393306 ACX393306:ADE393306 AMT393306:ANA393306 AWP393306:AWW393306 BGL393306:BGS393306 BQH393306:BQO393306 CAD393306:CAK393306 CJZ393306:CKG393306 CTV393306:CUC393306 DDR393306:DDY393306 DNN393306:DNU393306 DXJ393306:DXQ393306 EHF393306:EHM393306 ERB393306:ERI393306 FAX393306:FBE393306 FKT393306:FLA393306 FUP393306:FUW393306 GEL393306:GES393306 GOH393306:GOO393306 GYD393306:GYK393306 HHZ393306:HIG393306 HRV393306:HSC393306 IBR393306:IBY393306 ILN393306:ILU393306 IVJ393306:IVQ393306 JFF393306:JFM393306 JPB393306:JPI393306 JYX393306:JZE393306 KIT393306:KJA393306 KSP393306:KSW393306 LCL393306:LCS393306 LMH393306:LMO393306 LWD393306:LWK393306 MFZ393306:MGG393306 MPV393306:MQC393306 MZR393306:MZY393306 NJN393306:NJU393306 NTJ393306:NTQ393306 ODF393306:ODM393306 ONB393306:ONI393306 OWX393306:OXE393306 PGT393306:PHA393306 PQP393306:PQW393306 QAL393306:QAS393306 QKH393306:QKO393306 QUD393306:QUK393306 RDZ393306:REG393306 RNV393306:ROC393306 RXR393306:RXY393306 SHN393306:SHU393306 SRJ393306:SRQ393306 TBF393306:TBM393306 TLB393306:TLI393306 TUX393306:TVE393306 UET393306:UFA393306 UOP393306:UOW393306 UYL393306:UYS393306 VIH393306:VIO393306 VSD393306:VSK393306 WBZ393306:WCG393306 WLV393306:WMC393306 WVR393306:WVY393306 JF458842:JM458842 TB458842:TI458842 ACX458842:ADE458842 AMT458842:ANA458842 AWP458842:AWW458842 BGL458842:BGS458842 BQH458842:BQO458842 CAD458842:CAK458842 CJZ458842:CKG458842 CTV458842:CUC458842 DDR458842:DDY458842 DNN458842:DNU458842 DXJ458842:DXQ458842 EHF458842:EHM458842 ERB458842:ERI458842 FAX458842:FBE458842 FKT458842:FLA458842 FUP458842:FUW458842 GEL458842:GES458842 GOH458842:GOO458842 GYD458842:GYK458842 HHZ458842:HIG458842 HRV458842:HSC458842 IBR458842:IBY458842 ILN458842:ILU458842 IVJ458842:IVQ458842 JFF458842:JFM458842 JPB458842:JPI458842 JYX458842:JZE458842 KIT458842:KJA458842 KSP458842:KSW458842 LCL458842:LCS458842 LMH458842:LMO458842 LWD458842:LWK458842 MFZ458842:MGG458842 MPV458842:MQC458842 MZR458842:MZY458842 NJN458842:NJU458842 NTJ458842:NTQ458842 ODF458842:ODM458842 ONB458842:ONI458842 OWX458842:OXE458842 PGT458842:PHA458842 PQP458842:PQW458842 QAL458842:QAS458842 QKH458842:QKO458842 QUD458842:QUK458842 RDZ458842:REG458842 RNV458842:ROC458842 RXR458842:RXY458842 SHN458842:SHU458842 SRJ458842:SRQ458842 TBF458842:TBM458842 TLB458842:TLI458842 TUX458842:TVE458842 UET458842:UFA458842 UOP458842:UOW458842 UYL458842:UYS458842 VIH458842:VIO458842 VSD458842:VSK458842 WBZ458842:WCG458842 WLV458842:WMC458842 WVR458842:WVY458842 JF524378:JM524378 TB524378:TI524378 ACX524378:ADE524378 AMT524378:ANA524378 AWP524378:AWW524378 BGL524378:BGS524378 BQH524378:BQO524378 CAD524378:CAK524378 CJZ524378:CKG524378 CTV524378:CUC524378 DDR524378:DDY524378 DNN524378:DNU524378 DXJ524378:DXQ524378 EHF524378:EHM524378 ERB524378:ERI524378 FAX524378:FBE524378 FKT524378:FLA524378 FUP524378:FUW524378 GEL524378:GES524378 GOH524378:GOO524378 GYD524378:GYK524378 HHZ524378:HIG524378 HRV524378:HSC524378 IBR524378:IBY524378 ILN524378:ILU524378 IVJ524378:IVQ524378 JFF524378:JFM524378 JPB524378:JPI524378 JYX524378:JZE524378 KIT524378:KJA524378 KSP524378:KSW524378 LCL524378:LCS524378 LMH524378:LMO524378 LWD524378:LWK524378 MFZ524378:MGG524378 MPV524378:MQC524378 MZR524378:MZY524378 NJN524378:NJU524378 NTJ524378:NTQ524378 ODF524378:ODM524378 ONB524378:ONI524378 OWX524378:OXE524378 PGT524378:PHA524378 PQP524378:PQW524378 QAL524378:QAS524378 QKH524378:QKO524378 QUD524378:QUK524378 RDZ524378:REG524378 RNV524378:ROC524378 RXR524378:RXY524378 SHN524378:SHU524378 SRJ524378:SRQ524378 TBF524378:TBM524378 TLB524378:TLI524378 TUX524378:TVE524378 UET524378:UFA524378 UOP524378:UOW524378 UYL524378:UYS524378 VIH524378:VIO524378 VSD524378:VSK524378 WBZ524378:WCG524378 WLV524378:WMC524378 WVR524378:WVY524378 JF589914:JM589914 TB589914:TI589914 ACX589914:ADE589914 AMT589914:ANA589914 AWP589914:AWW589914 BGL589914:BGS589914 BQH589914:BQO589914 CAD589914:CAK589914 CJZ589914:CKG589914 CTV589914:CUC589914 DDR589914:DDY589914 DNN589914:DNU589914 DXJ589914:DXQ589914 EHF589914:EHM589914 ERB589914:ERI589914 FAX589914:FBE589914 FKT589914:FLA589914 FUP589914:FUW589914 GEL589914:GES589914 GOH589914:GOO589914 GYD589914:GYK589914 HHZ589914:HIG589914 HRV589914:HSC589914 IBR589914:IBY589914 ILN589914:ILU589914 IVJ589914:IVQ589914 JFF589914:JFM589914 JPB589914:JPI589914 JYX589914:JZE589914 KIT589914:KJA589914 KSP589914:KSW589914 LCL589914:LCS589914 LMH589914:LMO589914 LWD589914:LWK589914 MFZ589914:MGG589914 MPV589914:MQC589914 MZR589914:MZY589914 NJN589914:NJU589914 NTJ589914:NTQ589914 ODF589914:ODM589914 ONB589914:ONI589914 OWX589914:OXE589914 PGT589914:PHA589914 PQP589914:PQW589914 QAL589914:QAS589914 QKH589914:QKO589914 QUD589914:QUK589914 RDZ589914:REG589914 RNV589914:ROC589914 RXR589914:RXY589914 SHN589914:SHU589914 SRJ589914:SRQ589914 TBF589914:TBM589914 TLB589914:TLI589914 TUX589914:TVE589914 UET589914:UFA589914 UOP589914:UOW589914 UYL589914:UYS589914 VIH589914:VIO589914 VSD589914:VSK589914 WBZ589914:WCG589914 WLV589914:WMC589914 WVR589914:WVY589914 JF655450:JM655450 TB655450:TI655450 ACX655450:ADE655450 AMT655450:ANA655450 AWP655450:AWW655450 BGL655450:BGS655450 BQH655450:BQO655450 CAD655450:CAK655450 CJZ655450:CKG655450 CTV655450:CUC655450 DDR655450:DDY655450 DNN655450:DNU655450 DXJ655450:DXQ655450 EHF655450:EHM655450 ERB655450:ERI655450 FAX655450:FBE655450 FKT655450:FLA655450 FUP655450:FUW655450 GEL655450:GES655450 GOH655450:GOO655450 GYD655450:GYK655450 HHZ655450:HIG655450 HRV655450:HSC655450 IBR655450:IBY655450 ILN655450:ILU655450 IVJ655450:IVQ655450 JFF655450:JFM655450 JPB655450:JPI655450 JYX655450:JZE655450 KIT655450:KJA655450 KSP655450:KSW655450 LCL655450:LCS655450 LMH655450:LMO655450 LWD655450:LWK655450 MFZ655450:MGG655450 MPV655450:MQC655450 MZR655450:MZY655450 NJN655450:NJU655450 NTJ655450:NTQ655450 ODF655450:ODM655450 ONB655450:ONI655450 OWX655450:OXE655450 PGT655450:PHA655450 PQP655450:PQW655450 QAL655450:QAS655450 QKH655450:QKO655450 QUD655450:QUK655450 RDZ655450:REG655450 RNV655450:ROC655450 RXR655450:RXY655450 SHN655450:SHU655450 SRJ655450:SRQ655450 TBF655450:TBM655450 TLB655450:TLI655450 TUX655450:TVE655450 UET655450:UFA655450 UOP655450:UOW655450 UYL655450:UYS655450 VIH655450:VIO655450 VSD655450:VSK655450 WBZ655450:WCG655450 WLV655450:WMC655450 WVR655450:WVY655450 JF720986:JM720986 TB720986:TI720986 ACX720986:ADE720986 AMT720986:ANA720986 AWP720986:AWW720986 BGL720986:BGS720986 BQH720986:BQO720986 CAD720986:CAK720986 CJZ720986:CKG720986 CTV720986:CUC720986 DDR720986:DDY720986 DNN720986:DNU720986 DXJ720986:DXQ720986 EHF720986:EHM720986 ERB720986:ERI720986 FAX720986:FBE720986 FKT720986:FLA720986 FUP720986:FUW720986 GEL720986:GES720986 GOH720986:GOO720986 GYD720986:GYK720986 HHZ720986:HIG720986 HRV720986:HSC720986 IBR720986:IBY720986 ILN720986:ILU720986 IVJ720986:IVQ720986 JFF720986:JFM720986 JPB720986:JPI720986 JYX720986:JZE720986 KIT720986:KJA720986 KSP720986:KSW720986 LCL720986:LCS720986 LMH720986:LMO720986 LWD720986:LWK720986 MFZ720986:MGG720986 MPV720986:MQC720986 MZR720986:MZY720986 NJN720986:NJU720986 NTJ720986:NTQ720986 ODF720986:ODM720986 ONB720986:ONI720986 OWX720986:OXE720986 PGT720986:PHA720986 PQP720986:PQW720986 QAL720986:QAS720986 QKH720986:QKO720986 QUD720986:QUK720986 RDZ720986:REG720986 RNV720986:ROC720986 RXR720986:RXY720986 SHN720986:SHU720986 SRJ720986:SRQ720986 TBF720986:TBM720986 TLB720986:TLI720986 TUX720986:TVE720986 UET720986:UFA720986 UOP720986:UOW720986 UYL720986:UYS720986 VIH720986:VIO720986 VSD720986:VSK720986 WBZ720986:WCG720986 WLV720986:WMC720986 WVR720986:WVY720986 JF786522:JM786522 TB786522:TI786522 ACX786522:ADE786522 AMT786522:ANA786522 AWP786522:AWW786522 BGL786522:BGS786522 BQH786522:BQO786522 CAD786522:CAK786522 CJZ786522:CKG786522 CTV786522:CUC786522 DDR786522:DDY786522 DNN786522:DNU786522 DXJ786522:DXQ786522 EHF786522:EHM786522 ERB786522:ERI786522 FAX786522:FBE786522 FKT786522:FLA786522 FUP786522:FUW786522 GEL786522:GES786522 GOH786522:GOO786522 GYD786522:GYK786522 HHZ786522:HIG786522 HRV786522:HSC786522 IBR786522:IBY786522 ILN786522:ILU786522 IVJ786522:IVQ786522 JFF786522:JFM786522 JPB786522:JPI786522 JYX786522:JZE786522 KIT786522:KJA786522 KSP786522:KSW786522 LCL786522:LCS786522 LMH786522:LMO786522 LWD786522:LWK786522 MFZ786522:MGG786522 MPV786522:MQC786522 MZR786522:MZY786522 NJN786522:NJU786522 NTJ786522:NTQ786522 ODF786522:ODM786522 ONB786522:ONI786522 OWX786522:OXE786522 PGT786522:PHA786522 PQP786522:PQW786522 QAL786522:QAS786522 QKH786522:QKO786522 QUD786522:QUK786522 RDZ786522:REG786522 RNV786522:ROC786522 RXR786522:RXY786522 SHN786522:SHU786522 SRJ786522:SRQ786522 TBF786522:TBM786522 TLB786522:TLI786522 TUX786522:TVE786522 UET786522:UFA786522 UOP786522:UOW786522 UYL786522:UYS786522 VIH786522:VIO786522 VSD786522:VSK786522 WBZ786522:WCG786522 WLV786522:WMC786522 WVR786522:WVY786522 JF852058:JM852058 TB852058:TI852058 ACX852058:ADE852058 AMT852058:ANA852058 AWP852058:AWW852058 BGL852058:BGS852058 BQH852058:BQO852058 CAD852058:CAK852058 CJZ852058:CKG852058 CTV852058:CUC852058 DDR852058:DDY852058 DNN852058:DNU852058 DXJ852058:DXQ852058 EHF852058:EHM852058 ERB852058:ERI852058 FAX852058:FBE852058 FKT852058:FLA852058 FUP852058:FUW852058 GEL852058:GES852058 GOH852058:GOO852058 GYD852058:GYK852058 HHZ852058:HIG852058 HRV852058:HSC852058 IBR852058:IBY852058 ILN852058:ILU852058 IVJ852058:IVQ852058 JFF852058:JFM852058 JPB852058:JPI852058 JYX852058:JZE852058 KIT852058:KJA852058 KSP852058:KSW852058 LCL852058:LCS852058 LMH852058:LMO852058 LWD852058:LWK852058 MFZ852058:MGG852058 MPV852058:MQC852058 MZR852058:MZY852058 NJN852058:NJU852058 NTJ852058:NTQ852058 ODF852058:ODM852058 ONB852058:ONI852058 OWX852058:OXE852058 PGT852058:PHA852058 PQP852058:PQW852058 QAL852058:QAS852058 QKH852058:QKO852058 QUD852058:QUK852058 RDZ852058:REG852058 RNV852058:ROC852058 RXR852058:RXY852058 SHN852058:SHU852058 SRJ852058:SRQ852058 TBF852058:TBM852058 TLB852058:TLI852058 TUX852058:TVE852058 UET852058:UFA852058 UOP852058:UOW852058 UYL852058:UYS852058 VIH852058:VIO852058 VSD852058:VSK852058 WBZ852058:WCG852058 WLV852058:WMC852058 WVR852058:WVY852058 JF917594:JM917594 TB917594:TI917594 ACX917594:ADE917594 AMT917594:ANA917594 AWP917594:AWW917594 BGL917594:BGS917594 BQH917594:BQO917594 CAD917594:CAK917594 CJZ917594:CKG917594 CTV917594:CUC917594 DDR917594:DDY917594 DNN917594:DNU917594 DXJ917594:DXQ917594 EHF917594:EHM917594 ERB917594:ERI917594 FAX917594:FBE917594 FKT917594:FLA917594 FUP917594:FUW917594 GEL917594:GES917594 GOH917594:GOO917594 GYD917594:GYK917594 HHZ917594:HIG917594 HRV917594:HSC917594 IBR917594:IBY917594 ILN917594:ILU917594 IVJ917594:IVQ917594 JFF917594:JFM917594 JPB917594:JPI917594 JYX917594:JZE917594 KIT917594:KJA917594 KSP917594:KSW917594 LCL917594:LCS917594 LMH917594:LMO917594 LWD917594:LWK917594 MFZ917594:MGG917594 MPV917594:MQC917594 MZR917594:MZY917594 NJN917594:NJU917594 NTJ917594:NTQ917594 ODF917594:ODM917594 ONB917594:ONI917594 OWX917594:OXE917594 PGT917594:PHA917594 PQP917594:PQW917594 QAL917594:QAS917594 QKH917594:QKO917594 QUD917594:QUK917594 RDZ917594:REG917594 RNV917594:ROC917594 RXR917594:RXY917594 SHN917594:SHU917594 SRJ917594:SRQ917594 TBF917594:TBM917594 TLB917594:TLI917594 TUX917594:TVE917594 UET917594:UFA917594 UOP917594:UOW917594 UYL917594:UYS917594 VIH917594:VIO917594 VSD917594:VSK917594 WBZ917594:WCG917594 WLV917594:WMC917594 WVR917594:WVY917594 JF983130:JM983130 TB983130:TI983130 ACX983130:ADE983130 AMT983130:ANA983130 AWP983130:AWW983130 BGL983130:BGS983130 BQH983130:BQO983130 CAD983130:CAK983130 CJZ983130:CKG983130 CTV983130:CUC983130 DDR983130:DDY983130 DNN983130:DNU983130 DXJ983130:DXQ983130 EHF983130:EHM983130 ERB983130:ERI983130 FAX983130:FBE983130 FKT983130:FLA983130 FUP983130:FUW983130 GEL983130:GES983130 GOH983130:GOO983130 GYD983130:GYK983130 HHZ983130:HIG983130 HRV983130:HSC983130 IBR983130:IBY983130 ILN983130:ILU983130 IVJ983130:IVQ983130 JFF983130:JFM983130 JPB983130:JPI983130 JYX983130:JZE983130 KIT983130:KJA983130 KSP983130:KSW983130 LCL983130:LCS983130 LMH983130:LMO983130 LWD983130:LWK983130 MFZ983130:MGG983130 MPV983130:MQC983130 MZR983130:MZY983130 NJN983130:NJU983130 NTJ983130:NTQ983130 ODF983130:ODM983130 ONB983130:ONI983130 OWX983130:OXE983130 PGT983130:PHA983130 PQP983130:PQW983130 QAL983130:QAS983130 QKH983130:QKO983130 QUD983130:QUK983130 RDZ983130:REG983130 RNV983130:ROC983130 RXR983130:RXY983130 SHN983130:SHU983130 SRJ983130:SRQ983130 TBF983130:TBM983130 TLB983130:TLI983130 TUX983130:TVE983130 UET983130:UFA983130 UOP983130:UOW983130 UYL983130:UYS983130 VIH983130:VIO983130 VSD983130:VSK983130 WBZ983130:WCG983130 WLV983130:WMC983130 WVR983130:WVY983130 JF12:JM12 TB12:TI12 ACX12:ADE12 AMT12:ANA12 AWP12:AWW12 BGL12:BGS12 BQH12:BQO12 CAD12:CAK12 CJZ12:CKG12 CTV12:CUC12 DDR12:DDY12 DNN12:DNU12 DXJ12:DXQ12 EHF12:EHM12 ERB12:ERI12 FAX12:FBE12 FKT12:FLA12 FUP12:FUW12 GEL12:GES12 GOH12:GOO12 GYD12:GYK12 HHZ12:HIG12 HRV12:HSC12 IBR12:IBY12 ILN12:ILU12 IVJ12:IVQ12 JFF12:JFM12 JPB12:JPI12 JYX12:JZE12 KIT12:KJA12 KSP12:KSW12 LCL12:LCS12 LMH12:LMO12 LWD12:LWK12 MFZ12:MGG12 MPV12:MQC12 MZR12:MZY12 NJN12:NJU12 NTJ12:NTQ12 ODF12:ODM12 ONB12:ONI12 OWX12:OXE12 PGT12:PHA12 PQP12:PQW12 QAL12:QAS12 QKH12:QKO12 QUD12:QUK12 RDZ12:REG12 RNV12:ROC12 RXR12:RXY12 SHN12:SHU12 SRJ12:SRQ12 TBF12:TBM12 TLB12:TLI12 TUX12:TVE12 UET12:UFA12 UOP12:UOW12 UYL12:UYS12 VIH12:VIO12 VSD12:VSK12 WBZ12:WCG12 WLV12:WMC12 WVR12:WVY12 JF65548:JM65548 TB65548:TI65548 ACX65548:ADE65548 AMT65548:ANA65548 AWP65548:AWW65548 BGL65548:BGS65548 BQH65548:BQO65548 CAD65548:CAK65548 CJZ65548:CKG65548 CTV65548:CUC65548 DDR65548:DDY65548 DNN65548:DNU65548 DXJ65548:DXQ65548 EHF65548:EHM65548 ERB65548:ERI65548 FAX65548:FBE65548 FKT65548:FLA65548 FUP65548:FUW65548 GEL65548:GES65548 GOH65548:GOO65548 GYD65548:GYK65548 HHZ65548:HIG65548 HRV65548:HSC65548 IBR65548:IBY65548 ILN65548:ILU65548 IVJ65548:IVQ65548 JFF65548:JFM65548 JPB65548:JPI65548 JYX65548:JZE65548 KIT65548:KJA65548 KSP65548:KSW65548 LCL65548:LCS65548 LMH65548:LMO65548 LWD65548:LWK65548 MFZ65548:MGG65548 MPV65548:MQC65548 MZR65548:MZY65548 NJN65548:NJU65548 NTJ65548:NTQ65548 ODF65548:ODM65548 ONB65548:ONI65548 OWX65548:OXE65548 PGT65548:PHA65548 PQP65548:PQW65548 QAL65548:QAS65548 QKH65548:QKO65548 QUD65548:QUK65548 RDZ65548:REG65548 RNV65548:ROC65548 RXR65548:RXY65548 SHN65548:SHU65548 SRJ65548:SRQ65548 TBF65548:TBM65548 TLB65548:TLI65548 TUX65548:TVE65548 UET65548:UFA65548 UOP65548:UOW65548 UYL65548:UYS65548 VIH65548:VIO65548 VSD65548:VSK65548 WBZ65548:WCG65548 WLV65548:WMC65548 WVR65548:WVY65548 JF131084:JM131084 TB131084:TI131084 ACX131084:ADE131084 AMT131084:ANA131084 AWP131084:AWW131084 BGL131084:BGS131084 BQH131084:BQO131084 CAD131084:CAK131084 CJZ131084:CKG131084 CTV131084:CUC131084 DDR131084:DDY131084 DNN131084:DNU131084 DXJ131084:DXQ131084 EHF131084:EHM131084 ERB131084:ERI131084 FAX131084:FBE131084 FKT131084:FLA131084 FUP131084:FUW131084 GEL131084:GES131084 GOH131084:GOO131084 GYD131084:GYK131084 HHZ131084:HIG131084 HRV131084:HSC131084 IBR131084:IBY131084 ILN131084:ILU131084 IVJ131084:IVQ131084 JFF131084:JFM131084 JPB131084:JPI131084 JYX131084:JZE131084 KIT131084:KJA131084 KSP131084:KSW131084 LCL131084:LCS131084 LMH131084:LMO131084 LWD131084:LWK131084 MFZ131084:MGG131084 MPV131084:MQC131084 MZR131084:MZY131084 NJN131084:NJU131084 NTJ131084:NTQ131084 ODF131084:ODM131084 ONB131084:ONI131084 OWX131084:OXE131084 PGT131084:PHA131084 PQP131084:PQW131084 QAL131084:QAS131084 QKH131084:QKO131084 QUD131084:QUK131084 RDZ131084:REG131084 RNV131084:ROC131084 RXR131084:RXY131084 SHN131084:SHU131084 SRJ131084:SRQ131084 TBF131084:TBM131084 TLB131084:TLI131084 TUX131084:TVE131084 UET131084:UFA131084 UOP131084:UOW131084 UYL131084:UYS131084 VIH131084:VIO131084 VSD131084:VSK131084 WBZ131084:WCG131084 WLV131084:WMC131084 WVR131084:WVY131084 JF196620:JM196620 TB196620:TI196620 ACX196620:ADE196620 AMT196620:ANA196620 AWP196620:AWW196620 BGL196620:BGS196620 BQH196620:BQO196620 CAD196620:CAK196620 CJZ196620:CKG196620 CTV196620:CUC196620 DDR196620:DDY196620 DNN196620:DNU196620 DXJ196620:DXQ196620 EHF196620:EHM196620 ERB196620:ERI196620 FAX196620:FBE196620 FKT196620:FLA196620 FUP196620:FUW196620 GEL196620:GES196620 GOH196620:GOO196620 GYD196620:GYK196620 HHZ196620:HIG196620 HRV196620:HSC196620 IBR196620:IBY196620 ILN196620:ILU196620 IVJ196620:IVQ196620 JFF196620:JFM196620 JPB196620:JPI196620 JYX196620:JZE196620 KIT196620:KJA196620 KSP196620:KSW196620 LCL196620:LCS196620 LMH196620:LMO196620 LWD196620:LWK196620 MFZ196620:MGG196620 MPV196620:MQC196620 MZR196620:MZY196620 NJN196620:NJU196620 NTJ196620:NTQ196620 ODF196620:ODM196620 ONB196620:ONI196620 OWX196620:OXE196620 PGT196620:PHA196620 PQP196620:PQW196620 QAL196620:QAS196620 QKH196620:QKO196620 QUD196620:QUK196620 RDZ196620:REG196620 RNV196620:ROC196620 RXR196620:RXY196620 SHN196620:SHU196620 SRJ196620:SRQ196620 TBF196620:TBM196620 TLB196620:TLI196620 TUX196620:TVE196620 UET196620:UFA196620 UOP196620:UOW196620 UYL196620:UYS196620 VIH196620:VIO196620 VSD196620:VSK196620 WBZ196620:WCG196620 WLV196620:WMC196620 WVR196620:WVY196620 JF262156:JM262156 TB262156:TI262156 ACX262156:ADE262156 AMT262156:ANA262156 AWP262156:AWW262156 BGL262156:BGS262156 BQH262156:BQO262156 CAD262156:CAK262156 CJZ262156:CKG262156 CTV262156:CUC262156 DDR262156:DDY262156 DNN262156:DNU262156 DXJ262156:DXQ262156 EHF262156:EHM262156 ERB262156:ERI262156 FAX262156:FBE262156 FKT262156:FLA262156 FUP262156:FUW262156 GEL262156:GES262156 GOH262156:GOO262156 GYD262156:GYK262156 HHZ262156:HIG262156 HRV262156:HSC262156 IBR262156:IBY262156 ILN262156:ILU262156 IVJ262156:IVQ262156 JFF262156:JFM262156 JPB262156:JPI262156 JYX262156:JZE262156 KIT262156:KJA262156 KSP262156:KSW262156 LCL262156:LCS262156 LMH262156:LMO262156 LWD262156:LWK262156 MFZ262156:MGG262156 MPV262156:MQC262156 MZR262156:MZY262156 NJN262156:NJU262156 NTJ262156:NTQ262156 ODF262156:ODM262156 ONB262156:ONI262156 OWX262156:OXE262156 PGT262156:PHA262156 PQP262156:PQW262156 QAL262156:QAS262156 QKH262156:QKO262156 QUD262156:QUK262156 RDZ262156:REG262156 RNV262156:ROC262156 RXR262156:RXY262156 SHN262156:SHU262156 SRJ262156:SRQ262156 TBF262156:TBM262156 TLB262156:TLI262156 TUX262156:TVE262156 UET262156:UFA262156 UOP262156:UOW262156 UYL262156:UYS262156 VIH262156:VIO262156 VSD262156:VSK262156 WBZ262156:WCG262156 WLV262156:WMC262156 WVR262156:WVY262156 JF327692:JM327692 TB327692:TI327692 ACX327692:ADE327692 AMT327692:ANA327692 AWP327692:AWW327692 BGL327692:BGS327692 BQH327692:BQO327692 CAD327692:CAK327692 CJZ327692:CKG327692 CTV327692:CUC327692 DDR327692:DDY327692 DNN327692:DNU327692 DXJ327692:DXQ327692 EHF327692:EHM327692 ERB327692:ERI327692 FAX327692:FBE327692 FKT327692:FLA327692 FUP327692:FUW327692 GEL327692:GES327692 GOH327692:GOO327692 GYD327692:GYK327692 HHZ327692:HIG327692 HRV327692:HSC327692 IBR327692:IBY327692 ILN327692:ILU327692 IVJ327692:IVQ327692 JFF327692:JFM327692 JPB327692:JPI327692 JYX327692:JZE327692 KIT327692:KJA327692 KSP327692:KSW327692 LCL327692:LCS327692 LMH327692:LMO327692 LWD327692:LWK327692 MFZ327692:MGG327692 MPV327692:MQC327692 MZR327692:MZY327692 NJN327692:NJU327692 NTJ327692:NTQ327692 ODF327692:ODM327692 ONB327692:ONI327692 OWX327692:OXE327692 PGT327692:PHA327692 PQP327692:PQW327692 QAL327692:QAS327692 QKH327692:QKO327692 QUD327692:QUK327692 RDZ327692:REG327692 RNV327692:ROC327692 RXR327692:RXY327692 SHN327692:SHU327692 SRJ327692:SRQ327692 TBF327692:TBM327692 TLB327692:TLI327692 TUX327692:TVE327692 UET327692:UFA327692 UOP327692:UOW327692 UYL327692:UYS327692 VIH327692:VIO327692 VSD327692:VSK327692 WBZ327692:WCG327692 WLV327692:WMC327692 WVR327692:WVY327692 JF393228:JM393228 TB393228:TI393228 ACX393228:ADE393228 AMT393228:ANA393228 AWP393228:AWW393228 BGL393228:BGS393228 BQH393228:BQO393228 CAD393228:CAK393228 CJZ393228:CKG393228 CTV393228:CUC393228 DDR393228:DDY393228 DNN393228:DNU393228 DXJ393228:DXQ393228 EHF393228:EHM393228 ERB393228:ERI393228 FAX393228:FBE393228 FKT393228:FLA393228 FUP393228:FUW393228 GEL393228:GES393228 GOH393228:GOO393228 GYD393228:GYK393228 HHZ393228:HIG393228 HRV393228:HSC393228 IBR393228:IBY393228 ILN393228:ILU393228 IVJ393228:IVQ393228 JFF393228:JFM393228 JPB393228:JPI393228 JYX393228:JZE393228 KIT393228:KJA393228 KSP393228:KSW393228 LCL393228:LCS393228 LMH393228:LMO393228 LWD393228:LWK393228 MFZ393228:MGG393228 MPV393228:MQC393228 MZR393228:MZY393228 NJN393228:NJU393228 NTJ393228:NTQ393228 ODF393228:ODM393228 ONB393228:ONI393228 OWX393228:OXE393228 PGT393228:PHA393228 PQP393228:PQW393228 QAL393228:QAS393228 QKH393228:QKO393228 QUD393228:QUK393228 RDZ393228:REG393228 RNV393228:ROC393228 RXR393228:RXY393228 SHN393228:SHU393228 SRJ393228:SRQ393228 TBF393228:TBM393228 TLB393228:TLI393228 TUX393228:TVE393228 UET393228:UFA393228 UOP393228:UOW393228 UYL393228:UYS393228 VIH393228:VIO393228 VSD393228:VSK393228 WBZ393228:WCG393228 WLV393228:WMC393228 WVR393228:WVY393228 JF458764:JM458764 TB458764:TI458764 ACX458764:ADE458764 AMT458764:ANA458764 AWP458764:AWW458764 BGL458764:BGS458764 BQH458764:BQO458764 CAD458764:CAK458764 CJZ458764:CKG458764 CTV458764:CUC458764 DDR458764:DDY458764 DNN458764:DNU458764 DXJ458764:DXQ458764 EHF458764:EHM458764 ERB458764:ERI458764 FAX458764:FBE458764 FKT458764:FLA458764 FUP458764:FUW458764 GEL458764:GES458764 GOH458764:GOO458764 GYD458764:GYK458764 HHZ458764:HIG458764 HRV458764:HSC458764 IBR458764:IBY458764 ILN458764:ILU458764 IVJ458764:IVQ458764 JFF458764:JFM458764 JPB458764:JPI458764 JYX458764:JZE458764 KIT458764:KJA458764 KSP458764:KSW458764 LCL458764:LCS458764 LMH458764:LMO458764 LWD458764:LWK458764 MFZ458764:MGG458764 MPV458764:MQC458764 MZR458764:MZY458764 NJN458764:NJU458764 NTJ458764:NTQ458764 ODF458764:ODM458764 ONB458764:ONI458764 OWX458764:OXE458764 PGT458764:PHA458764 PQP458764:PQW458764 QAL458764:QAS458764 QKH458764:QKO458764 QUD458764:QUK458764 RDZ458764:REG458764 RNV458764:ROC458764 RXR458764:RXY458764 SHN458764:SHU458764 SRJ458764:SRQ458764 TBF458764:TBM458764 TLB458764:TLI458764 TUX458764:TVE458764 UET458764:UFA458764 UOP458764:UOW458764 UYL458764:UYS458764 VIH458764:VIO458764 VSD458764:VSK458764 WBZ458764:WCG458764 WLV458764:WMC458764 WVR458764:WVY458764 JF524300:JM524300 TB524300:TI524300 ACX524300:ADE524300 AMT524300:ANA524300 AWP524300:AWW524300 BGL524300:BGS524300 BQH524300:BQO524300 CAD524300:CAK524300 CJZ524300:CKG524300 CTV524300:CUC524300 DDR524300:DDY524300 DNN524300:DNU524300 DXJ524300:DXQ524300 EHF524300:EHM524300 ERB524300:ERI524300 FAX524300:FBE524300 FKT524300:FLA524300 FUP524300:FUW524300 GEL524300:GES524300 GOH524300:GOO524300 GYD524300:GYK524300 HHZ524300:HIG524300 HRV524300:HSC524300 IBR524300:IBY524300 ILN524300:ILU524300 IVJ524300:IVQ524300 JFF524300:JFM524300 JPB524300:JPI524300 JYX524300:JZE524300 KIT524300:KJA524300 KSP524300:KSW524300 LCL524300:LCS524300 LMH524300:LMO524300 LWD524300:LWK524300 MFZ524300:MGG524300 MPV524300:MQC524300 MZR524300:MZY524300 NJN524300:NJU524300 NTJ524300:NTQ524300 ODF524300:ODM524300 ONB524300:ONI524300 OWX524300:OXE524300 PGT524300:PHA524300 PQP524300:PQW524300 QAL524300:QAS524300 QKH524300:QKO524300 QUD524300:QUK524300 RDZ524300:REG524300 RNV524300:ROC524300 RXR524300:RXY524300 SHN524300:SHU524300 SRJ524300:SRQ524300 TBF524300:TBM524300 TLB524300:TLI524300 TUX524300:TVE524300 UET524300:UFA524300 UOP524300:UOW524300 UYL524300:UYS524300 VIH524300:VIO524300 VSD524300:VSK524300 WBZ524300:WCG524300 WLV524300:WMC524300 WVR524300:WVY524300 JF589836:JM589836 TB589836:TI589836 ACX589836:ADE589836 AMT589836:ANA589836 AWP589836:AWW589836 BGL589836:BGS589836 BQH589836:BQO589836 CAD589836:CAK589836 CJZ589836:CKG589836 CTV589836:CUC589836 DDR589836:DDY589836 DNN589836:DNU589836 DXJ589836:DXQ589836 EHF589836:EHM589836 ERB589836:ERI589836 FAX589836:FBE589836 FKT589836:FLA589836 FUP589836:FUW589836 GEL589836:GES589836 GOH589836:GOO589836 GYD589836:GYK589836 HHZ589836:HIG589836 HRV589836:HSC589836 IBR589836:IBY589836 ILN589836:ILU589836 IVJ589836:IVQ589836 JFF589836:JFM589836 JPB589836:JPI589836 JYX589836:JZE589836 KIT589836:KJA589836 KSP589836:KSW589836 LCL589836:LCS589836 LMH589836:LMO589836 LWD589836:LWK589836 MFZ589836:MGG589836 MPV589836:MQC589836 MZR589836:MZY589836 NJN589836:NJU589836 NTJ589836:NTQ589836 ODF589836:ODM589836 ONB589836:ONI589836 OWX589836:OXE589836 PGT589836:PHA589836 PQP589836:PQW589836 QAL589836:QAS589836 QKH589836:QKO589836 QUD589836:QUK589836 RDZ589836:REG589836 RNV589836:ROC589836 RXR589836:RXY589836 SHN589836:SHU589836 SRJ589836:SRQ589836 TBF589836:TBM589836 TLB589836:TLI589836 TUX589836:TVE589836 UET589836:UFA589836 UOP589836:UOW589836 UYL589836:UYS589836 VIH589836:VIO589836 VSD589836:VSK589836 WBZ589836:WCG589836 WLV589836:WMC589836 WVR589836:WVY589836 JF655372:JM655372 TB655372:TI655372 ACX655372:ADE655372 AMT655372:ANA655372 AWP655372:AWW655372 BGL655372:BGS655372 BQH655372:BQO655372 CAD655372:CAK655372 CJZ655372:CKG655372 CTV655372:CUC655372 DDR655372:DDY655372 DNN655372:DNU655372 DXJ655372:DXQ655372 EHF655372:EHM655372 ERB655372:ERI655372 FAX655372:FBE655372 FKT655372:FLA655372 FUP655372:FUW655372 GEL655372:GES655372 GOH655372:GOO655372 GYD655372:GYK655372 HHZ655372:HIG655372 HRV655372:HSC655372 IBR655372:IBY655372 ILN655372:ILU655372 IVJ655372:IVQ655372 JFF655372:JFM655372 JPB655372:JPI655372 JYX655372:JZE655372 KIT655372:KJA655372 KSP655372:KSW655372 LCL655372:LCS655372 LMH655372:LMO655372 LWD655372:LWK655372 MFZ655372:MGG655372 MPV655372:MQC655372 MZR655372:MZY655372 NJN655372:NJU655372 NTJ655372:NTQ655372 ODF655372:ODM655372 ONB655372:ONI655372 OWX655372:OXE655372 PGT655372:PHA655372 PQP655372:PQW655372 QAL655372:QAS655372 QKH655372:QKO655372 QUD655372:QUK655372 RDZ655372:REG655372 RNV655372:ROC655372 RXR655372:RXY655372 SHN655372:SHU655372 SRJ655372:SRQ655372 TBF655372:TBM655372 TLB655372:TLI655372 TUX655372:TVE655372 UET655372:UFA655372 UOP655372:UOW655372 UYL655372:UYS655372 VIH655372:VIO655372 VSD655372:VSK655372 WBZ655372:WCG655372 WLV655372:WMC655372 WVR655372:WVY655372 JF720908:JM720908 TB720908:TI720908 ACX720908:ADE720908 AMT720908:ANA720908 AWP720908:AWW720908 BGL720908:BGS720908 BQH720908:BQO720908 CAD720908:CAK720908 CJZ720908:CKG720908 CTV720908:CUC720908 DDR720908:DDY720908 DNN720908:DNU720908 DXJ720908:DXQ720908 EHF720908:EHM720908 ERB720908:ERI720908 FAX720908:FBE720908 FKT720908:FLA720908 FUP720908:FUW720908 GEL720908:GES720908 GOH720908:GOO720908 GYD720908:GYK720908 HHZ720908:HIG720908 HRV720908:HSC720908 IBR720908:IBY720908 ILN720908:ILU720908 IVJ720908:IVQ720908 JFF720908:JFM720908 JPB720908:JPI720908 JYX720908:JZE720908 KIT720908:KJA720908 KSP720908:KSW720908 LCL720908:LCS720908 LMH720908:LMO720908 LWD720908:LWK720908 MFZ720908:MGG720908 MPV720908:MQC720908 MZR720908:MZY720908 NJN720908:NJU720908 NTJ720908:NTQ720908 ODF720908:ODM720908 ONB720908:ONI720908 OWX720908:OXE720908 PGT720908:PHA720908 PQP720908:PQW720908 QAL720908:QAS720908 QKH720908:QKO720908 QUD720908:QUK720908 RDZ720908:REG720908 RNV720908:ROC720908 RXR720908:RXY720908 SHN720908:SHU720908 SRJ720908:SRQ720908 TBF720908:TBM720908 TLB720908:TLI720908 TUX720908:TVE720908 UET720908:UFA720908 UOP720908:UOW720908 UYL720908:UYS720908 VIH720908:VIO720908 VSD720908:VSK720908 WBZ720908:WCG720908 WLV720908:WMC720908 WVR720908:WVY720908 JF786444:JM786444 TB786444:TI786444 ACX786444:ADE786444 AMT786444:ANA786444 AWP786444:AWW786444 BGL786444:BGS786444 BQH786444:BQO786444 CAD786444:CAK786444 CJZ786444:CKG786444 CTV786444:CUC786444 DDR786444:DDY786444 DNN786444:DNU786444 DXJ786444:DXQ786444 EHF786444:EHM786444 ERB786444:ERI786444 FAX786444:FBE786444 FKT786444:FLA786444 FUP786444:FUW786444 GEL786444:GES786444 GOH786444:GOO786444 GYD786444:GYK786444 HHZ786444:HIG786444 HRV786444:HSC786444 IBR786444:IBY786444 ILN786444:ILU786444 IVJ786444:IVQ786444 JFF786444:JFM786444 JPB786444:JPI786444 JYX786444:JZE786444 KIT786444:KJA786444 KSP786444:KSW786444 LCL786444:LCS786444 LMH786444:LMO786444 LWD786444:LWK786444 MFZ786444:MGG786444 MPV786444:MQC786444 MZR786444:MZY786444 NJN786444:NJU786444 NTJ786444:NTQ786444 ODF786444:ODM786444 ONB786444:ONI786444 OWX786444:OXE786444 PGT786444:PHA786444 PQP786444:PQW786444 QAL786444:QAS786444 QKH786444:QKO786444 QUD786444:QUK786444 RDZ786444:REG786444 RNV786444:ROC786444 RXR786444:RXY786444 SHN786444:SHU786444 SRJ786444:SRQ786444 TBF786444:TBM786444 TLB786444:TLI786444 TUX786444:TVE786444 UET786444:UFA786444 UOP786444:UOW786444 UYL786444:UYS786444 VIH786444:VIO786444 VSD786444:VSK786444 WBZ786444:WCG786444 WLV786444:WMC786444 WVR786444:WVY786444 JF851980:JM851980 TB851980:TI851980 ACX851980:ADE851980 AMT851980:ANA851980 AWP851980:AWW851980 BGL851980:BGS851980 BQH851980:BQO851980 CAD851980:CAK851980 CJZ851980:CKG851980 CTV851980:CUC851980 DDR851980:DDY851980 DNN851980:DNU851980 DXJ851980:DXQ851980 EHF851980:EHM851980 ERB851980:ERI851980 FAX851980:FBE851980 FKT851980:FLA851980 FUP851980:FUW851980 GEL851980:GES851980 GOH851980:GOO851980 GYD851980:GYK851980 HHZ851980:HIG851980 HRV851980:HSC851980 IBR851980:IBY851980 ILN851980:ILU851980 IVJ851980:IVQ851980 JFF851980:JFM851980 JPB851980:JPI851980 JYX851980:JZE851980 KIT851980:KJA851980 KSP851980:KSW851980 LCL851980:LCS851980 LMH851980:LMO851980 LWD851980:LWK851980 MFZ851980:MGG851980 MPV851980:MQC851980 MZR851980:MZY851980 NJN851980:NJU851980 NTJ851980:NTQ851980 ODF851980:ODM851980 ONB851980:ONI851980 OWX851980:OXE851980 PGT851980:PHA851980 PQP851980:PQW851980 QAL851980:QAS851980 QKH851980:QKO851980 QUD851980:QUK851980 RDZ851980:REG851980 RNV851980:ROC851980 RXR851980:RXY851980 SHN851980:SHU851980 SRJ851980:SRQ851980 TBF851980:TBM851980 TLB851980:TLI851980 TUX851980:TVE851980 UET851980:UFA851980 UOP851980:UOW851980 UYL851980:UYS851980 VIH851980:VIO851980 VSD851980:VSK851980 WBZ851980:WCG851980 WLV851980:WMC851980 WVR851980:WVY851980 JF917516:JM917516 TB917516:TI917516 ACX917516:ADE917516 AMT917516:ANA917516 AWP917516:AWW917516 BGL917516:BGS917516 BQH917516:BQO917516 CAD917516:CAK917516 CJZ917516:CKG917516 CTV917516:CUC917516 DDR917516:DDY917516 DNN917516:DNU917516 DXJ917516:DXQ917516 EHF917516:EHM917516 ERB917516:ERI917516 FAX917516:FBE917516 FKT917516:FLA917516 FUP917516:FUW917516 GEL917516:GES917516 GOH917516:GOO917516 GYD917516:GYK917516 HHZ917516:HIG917516 HRV917516:HSC917516 IBR917516:IBY917516 ILN917516:ILU917516 IVJ917516:IVQ917516 JFF917516:JFM917516 JPB917516:JPI917516 JYX917516:JZE917516 KIT917516:KJA917516 KSP917516:KSW917516 LCL917516:LCS917516 LMH917516:LMO917516 LWD917516:LWK917516 MFZ917516:MGG917516 MPV917516:MQC917516 MZR917516:MZY917516 NJN917516:NJU917516 NTJ917516:NTQ917516 ODF917516:ODM917516 ONB917516:ONI917516 OWX917516:OXE917516 PGT917516:PHA917516 PQP917516:PQW917516 QAL917516:QAS917516 QKH917516:QKO917516 QUD917516:QUK917516 RDZ917516:REG917516 RNV917516:ROC917516 RXR917516:RXY917516 SHN917516:SHU917516 SRJ917516:SRQ917516 TBF917516:TBM917516 TLB917516:TLI917516 TUX917516:TVE917516 UET917516:UFA917516 UOP917516:UOW917516 UYL917516:UYS917516 VIH917516:VIO917516 VSD917516:VSK917516 WBZ917516:WCG917516 WLV917516:WMC917516 WVR917516:WVY917516 WVR983052:WVY983052 JF983052:JM983052 TB983052:TI983052 ACX983052:ADE983052 AMT983052:ANA983052 AWP983052:AWW983052 BGL983052:BGS983052 BQH983052:BQO983052 CAD983052:CAK983052 CJZ983052:CKG983052 CTV983052:CUC983052 DDR983052:DDY983052 DNN983052:DNU983052 DXJ983052:DXQ983052 EHF983052:EHM983052 ERB983052:ERI983052 FAX983052:FBE983052 FKT983052:FLA983052 FUP983052:FUW983052 GEL983052:GES983052 GOH983052:GOO983052 GYD983052:GYK983052 HHZ983052:HIG983052 HRV983052:HSC983052 IBR983052:IBY983052 ILN983052:ILU983052 IVJ983052:IVQ983052 JFF983052:JFM983052 JPB983052:JPI983052 JYX983052:JZE983052 KIT983052:KJA983052 KSP983052:KSW983052 LCL983052:LCS983052 LMH983052:LMO983052 LWD983052:LWK983052 MFZ983052:MGG983052 MPV983052:MQC983052 MZR983052:MZY983052 NJN983052:NJU983052 NTJ983052:NTQ983052 ODF983052:ODM983052 ONB983052:ONI983052 OWX983052:OXE983052 PGT983052:PHA983052 PQP983052:PQW983052 QAL983052:QAS983052 QKH983052:QKO983052 QUD983052:QUK983052 RDZ983052:REG983052 RNV983052:ROC983052 RXR983052:RXY983052 SHN983052:SHU983052 SRJ983052:SRQ983052 TBF983052:TBM983052 TLB983052:TLI983052 TUX983052:TVE983052 UET983052:UFA983052 UOP983052:UOW983052 UYL983052:UYS983052 VIH983052:VIO983052 VSD983052:VSK983052 WBZ983052:WCG983052 WLV983052:WMC983052 G983052:Q983052 G917516:Q917516 G851980:Q851980 G786444:Q786444 G720908:Q720908 G655372:Q655372 G589836:Q589836 G524300:Q524300 G458764:Q458764 G393228:Q393228 G327692:Q327692 G262156:Q262156 G196620:Q196620 G131084:Q131084 G65548:Q65548 G12:Q12 G983130:Q983130 G917594:Q917594 G852058:Q852058 G786522:Q786522 G720986:Q720986 G655450:Q655450 G589914:Q589914 G524378:Q524378 G458842:Q458842 G393306:Q393306 G327770:Q327770 G262234:Q262234 G196698:Q196698 G131162:Q131162 G65626:Q65626 G90:Q90 G983346:Q983346 G917810:Q917810 G852274:Q852274 G786738:Q786738 G721202:Q721202 G655666:Q655666 G590130:Q590130 G524594:Q524594 G459058:Q459058 G393522:Q393522 G327986:Q327986 G262450:Q262450 G196914:Q196914 G131378:Q131378 G65842:Q65842 G306:Q306" xr:uid="{00000000-0002-0000-0200-000003000000}">
      <formula1>"有り,無し"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59" fitToHeight="3" orientation="landscape" cellComments="asDisplayed" horizontalDpi="300" verticalDpi="300" r:id="rId1"/>
  <headerFooter alignWithMargins="0"/>
  <rowBreaks count="7" manualBreakCount="7">
    <brk id="81" max="13" man="1"/>
    <brk id="136" max="13" man="1"/>
    <brk id="216" max="13" man="1"/>
    <brk id="296" max="13" man="1"/>
    <brk id="352" max="13" man="1"/>
    <brk id="390" max="13" man="1"/>
    <brk id="432" max="13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W71"/>
  <sheetViews>
    <sheetView topLeftCell="A45" zoomScale="125" zoomScaleNormal="80" zoomScaleSheetLayoutView="75" workbookViewId="0">
      <selection activeCell="D62" sqref="D62"/>
    </sheetView>
  </sheetViews>
  <sheetFormatPr baseColWidth="10" defaultColWidth="6.6640625" defaultRowHeight="26" customHeight="1"/>
  <cols>
    <col min="1" max="2" width="2.6640625" style="6" customWidth="1"/>
    <col min="3" max="3" width="6.6640625" style="1" customWidth="1"/>
    <col min="4" max="4" width="21.6640625" style="1" customWidth="1"/>
    <col min="5" max="5" width="21.6640625" style="2" customWidth="1"/>
    <col min="6" max="6" width="7.1640625" style="1" customWidth="1"/>
    <col min="7" max="7" width="7.1640625" style="3" customWidth="1"/>
    <col min="8" max="8" width="5.6640625" style="4" customWidth="1"/>
    <col min="9" max="9" width="9.1640625" style="4" customWidth="1"/>
    <col min="10" max="12" width="11.6640625" style="1" customWidth="1"/>
    <col min="13" max="13" width="2" style="1" customWidth="1"/>
    <col min="14" max="14" width="10.1640625" style="1" customWidth="1"/>
    <col min="15" max="15" width="11.6640625" style="1" customWidth="1"/>
    <col min="16" max="16" width="6.6640625" style="1" customWidth="1"/>
    <col min="17" max="17" width="9.1640625" style="1" customWidth="1"/>
    <col min="18" max="18" width="13.6640625" style="1" customWidth="1"/>
    <col min="19" max="19" width="19.83203125" style="1" customWidth="1"/>
    <col min="20" max="20" width="7.6640625" style="1" customWidth="1"/>
    <col min="21" max="22" width="11.6640625" style="1" customWidth="1"/>
    <col min="23" max="23" width="16.6640625" style="1" customWidth="1"/>
    <col min="24" max="24" width="15.5" style="1" customWidth="1"/>
    <col min="25" max="16384" width="6.6640625" style="1"/>
  </cols>
  <sheetData>
    <row r="1" spans="1:23" ht="14" customHeight="1">
      <c r="J1" s="222"/>
      <c r="K1" s="222"/>
      <c r="L1" s="2670" t="s">
        <v>332</v>
      </c>
      <c r="M1" s="2670"/>
      <c r="N1" s="2670"/>
      <c r="O1" s="2670"/>
    </row>
    <row r="2" spans="1:23" ht="14" customHeight="1">
      <c r="A2" s="8"/>
      <c r="B2" s="8"/>
      <c r="C2" s="2695"/>
      <c r="D2" s="2695"/>
      <c r="E2" s="18"/>
      <c r="F2" s="18"/>
      <c r="G2" s="18"/>
      <c r="H2" s="18"/>
      <c r="I2" s="18"/>
      <c r="J2" s="222"/>
      <c r="K2" s="222"/>
      <c r="L2" s="2692" t="s">
        <v>330</v>
      </c>
      <c r="M2" s="2692"/>
      <c r="N2" s="2699"/>
      <c r="O2" s="2699"/>
    </row>
    <row r="3" spans="1:23" ht="14" customHeight="1">
      <c r="A3" s="9"/>
      <c r="B3" s="9"/>
      <c r="C3" s="2695"/>
      <c r="D3" s="2695"/>
      <c r="E3" s="10"/>
      <c r="F3" s="11"/>
      <c r="G3" s="11"/>
      <c r="J3" s="222"/>
      <c r="K3" s="222"/>
      <c r="L3" s="2693" t="s">
        <v>331</v>
      </c>
      <c r="M3" s="2693"/>
      <c r="N3" s="2694"/>
      <c r="O3" s="2694"/>
    </row>
    <row r="4" spans="1:23" ht="14" customHeight="1">
      <c r="A4" s="12"/>
      <c r="B4" s="12"/>
      <c r="C4" s="13"/>
      <c r="D4" s="14"/>
      <c r="E4" s="15"/>
      <c r="F4" s="14"/>
      <c r="G4" s="11"/>
      <c r="J4" s="222"/>
      <c r="K4" s="222"/>
      <c r="L4" s="2693" t="s">
        <v>2501</v>
      </c>
      <c r="M4" s="2693"/>
      <c r="N4" s="2694">
        <f ca="1">TODAY()</f>
        <v>44806</v>
      </c>
      <c r="O4" s="2694"/>
    </row>
    <row r="5" spans="1:23" ht="14" customHeight="1">
      <c r="A5" s="12"/>
      <c r="B5" s="12"/>
      <c r="C5" s="16"/>
      <c r="D5" s="14"/>
      <c r="E5" s="15"/>
      <c r="F5" s="14"/>
      <c r="G5" s="11"/>
      <c r="H5" s="17"/>
      <c r="I5" s="17"/>
      <c r="J5" s="222"/>
      <c r="K5" s="222"/>
      <c r="L5" s="2693" t="s">
        <v>329</v>
      </c>
      <c r="M5" s="2693"/>
      <c r="N5" s="2694">
        <f ca="1">TODAY()</f>
        <v>44806</v>
      </c>
      <c r="O5" s="2694"/>
      <c r="Q5" s="140" t="s">
        <v>41</v>
      </c>
      <c r="R5" s="140"/>
      <c r="S5" s="141" t="s">
        <v>333</v>
      </c>
      <c r="U5" s="140" t="s">
        <v>103</v>
      </c>
      <c r="V5" s="140"/>
      <c r="W5" s="496" t="s">
        <v>334</v>
      </c>
    </row>
    <row r="6" spans="1:23" ht="14" customHeight="1">
      <c r="A6" s="12"/>
      <c r="B6" s="12"/>
      <c r="C6" s="16"/>
      <c r="D6" s="14"/>
      <c r="E6" s="15"/>
      <c r="F6" s="14"/>
      <c r="G6" s="11"/>
      <c r="H6" s="17"/>
      <c r="I6" s="17"/>
      <c r="J6" s="222"/>
      <c r="K6" s="222"/>
      <c r="L6" s="2693" t="s">
        <v>326</v>
      </c>
      <c r="M6" s="2693"/>
      <c r="N6" s="2701">
        <v>43221</v>
      </c>
      <c r="O6" s="2701"/>
      <c r="Q6" s="140" t="s">
        <v>42</v>
      </c>
      <c r="R6" s="140"/>
      <c r="S6" s="142" t="s">
        <v>80</v>
      </c>
      <c r="U6" s="140" t="s">
        <v>42</v>
      </c>
      <c r="V6" s="140"/>
      <c r="W6" s="142" t="s">
        <v>80</v>
      </c>
    </row>
    <row r="7" spans="1:23" ht="14" customHeight="1">
      <c r="A7" s="12"/>
      <c r="B7" s="12"/>
      <c r="C7" s="16"/>
      <c r="D7" s="14"/>
      <c r="E7" s="15"/>
      <c r="F7" s="14"/>
      <c r="G7" s="11"/>
      <c r="H7" s="17"/>
      <c r="I7" s="17"/>
      <c r="J7" s="222"/>
      <c r="K7" s="222"/>
      <c r="L7" s="2693" t="s">
        <v>327</v>
      </c>
      <c r="M7" s="2693"/>
      <c r="N7" s="2698" t="s">
        <v>2990</v>
      </c>
      <c r="O7" s="2698"/>
      <c r="Q7" s="143"/>
      <c r="R7" s="143"/>
      <c r="S7" s="143"/>
    </row>
    <row r="8" spans="1:23" ht="14" customHeight="1">
      <c r="A8" s="12"/>
      <c r="B8" s="12"/>
      <c r="C8" s="16"/>
      <c r="D8" s="14"/>
      <c r="E8" s="15"/>
      <c r="F8" s="14"/>
      <c r="G8" s="11"/>
      <c r="H8" s="17"/>
      <c r="I8" s="17"/>
      <c r="J8" s="222"/>
      <c r="K8" s="222"/>
      <c r="L8" s="2693" t="s">
        <v>328</v>
      </c>
      <c r="M8" s="2693"/>
      <c r="N8" s="2700">
        <v>3000</v>
      </c>
      <c r="O8" s="2700"/>
      <c r="Q8" s="144" t="s">
        <v>51</v>
      </c>
      <c r="U8" s="140" t="s">
        <v>114</v>
      </c>
      <c r="V8" s="140"/>
      <c r="W8" s="141" t="s">
        <v>2509</v>
      </c>
    </row>
    <row r="9" spans="1:23" ht="14" customHeight="1">
      <c r="A9" s="12"/>
      <c r="B9" s="12"/>
      <c r="C9" s="16"/>
      <c r="D9" s="14"/>
      <c r="E9" s="15"/>
      <c r="F9" s="14"/>
      <c r="G9" s="11"/>
      <c r="H9" s="17"/>
      <c r="I9" s="17"/>
      <c r="J9" s="222"/>
      <c r="K9" s="222"/>
      <c r="L9" s="2693"/>
      <c r="M9" s="2693"/>
      <c r="N9" s="2700"/>
      <c r="O9" s="2700"/>
      <c r="S9" s="145">
        <v>1</v>
      </c>
      <c r="U9" s="140" t="s">
        <v>115</v>
      </c>
      <c r="V9" s="140"/>
      <c r="W9" s="142" t="s">
        <v>80</v>
      </c>
    </row>
    <row r="10" spans="1:23" ht="45" customHeight="1">
      <c r="A10" s="12"/>
      <c r="B10" s="12"/>
      <c r="C10" s="16"/>
      <c r="D10" s="14"/>
      <c r="E10" s="15"/>
      <c r="F10" s="14"/>
      <c r="G10" s="11"/>
      <c r="H10" s="17"/>
      <c r="I10" s="17"/>
      <c r="J10" s="14"/>
      <c r="K10" s="14"/>
      <c r="L10" s="14"/>
    </row>
    <row r="11" spans="1:23" ht="25" customHeight="1" thickBot="1">
      <c r="A11" s="12"/>
      <c r="B11" s="12"/>
      <c r="C11" s="16"/>
      <c r="D11" s="2696" t="s">
        <v>2975</v>
      </c>
      <c r="E11" s="2696"/>
      <c r="F11" s="2696"/>
      <c r="G11" s="2696"/>
      <c r="H11" s="2696"/>
      <c r="I11" s="2696"/>
      <c r="J11" s="2696"/>
      <c r="K11" s="2696"/>
      <c r="L11" s="2696"/>
      <c r="M11" s="2696"/>
      <c r="N11" s="2696"/>
    </row>
    <row r="12" spans="1:23" ht="37.5" customHeight="1">
      <c r="A12" s="12"/>
      <c r="B12" s="12"/>
      <c r="C12" s="16"/>
      <c r="D12" s="14"/>
      <c r="E12" s="15"/>
      <c r="F12" s="14"/>
      <c r="G12" s="11"/>
      <c r="H12" s="17"/>
      <c r="I12" s="17"/>
      <c r="J12" s="14"/>
      <c r="K12" s="14"/>
      <c r="L12" s="14"/>
    </row>
    <row r="13" spans="1:23" ht="25" customHeight="1">
      <c r="A13" s="12"/>
      <c r="B13" s="12"/>
      <c r="C13" s="2697" t="s">
        <v>2989</v>
      </c>
      <c r="D13" s="2697"/>
      <c r="E13" s="2697"/>
      <c r="F13" s="2697"/>
      <c r="G13" s="2697"/>
      <c r="H13" s="2697"/>
      <c r="I13" s="2697"/>
      <c r="J13" s="2697"/>
      <c r="K13" s="2697"/>
      <c r="L13" s="2697"/>
      <c r="M13" s="2697"/>
      <c r="N13" s="2697"/>
      <c r="O13" s="2697"/>
    </row>
    <row r="14" spans="1:23" ht="30" customHeight="1">
      <c r="A14" s="12"/>
      <c r="B14" s="12"/>
      <c r="C14" s="16"/>
      <c r="D14" s="14"/>
      <c r="E14" s="15"/>
      <c r="F14" s="14"/>
      <c r="G14" s="11"/>
      <c r="H14" s="17"/>
      <c r="I14" s="17"/>
      <c r="J14" s="14"/>
      <c r="K14" s="14"/>
      <c r="L14" s="14"/>
    </row>
    <row r="15" spans="1:23" ht="30" customHeight="1">
      <c r="A15" s="12"/>
      <c r="B15" s="12"/>
      <c r="C15" s="16"/>
      <c r="D15" s="14"/>
      <c r="E15" s="15"/>
      <c r="F15" s="14"/>
      <c r="G15" s="11"/>
      <c r="H15" s="17"/>
      <c r="I15" s="17"/>
      <c r="J15" s="14"/>
      <c r="K15" s="14"/>
      <c r="L15" s="14"/>
    </row>
    <row r="16" spans="1:23" ht="30" customHeight="1">
      <c r="A16" s="12"/>
      <c r="B16" s="12"/>
      <c r="C16" s="16"/>
      <c r="D16" s="14"/>
      <c r="E16" s="15"/>
      <c r="F16" s="14"/>
      <c r="G16" s="11"/>
      <c r="H16" s="17"/>
      <c r="I16" s="17"/>
      <c r="J16" s="14"/>
      <c r="K16" s="14"/>
      <c r="L16" s="14"/>
    </row>
    <row r="17" spans="1:15" ht="18" customHeight="1">
      <c r="A17" s="12"/>
      <c r="B17" s="12"/>
      <c r="C17" s="16"/>
      <c r="D17" s="14"/>
      <c r="E17" s="15"/>
      <c r="F17" s="14"/>
      <c r="G17" s="11"/>
      <c r="H17" s="17"/>
      <c r="I17" s="17"/>
      <c r="J17" s="14"/>
      <c r="K17" s="14"/>
      <c r="L17" s="2689" t="s">
        <v>321</v>
      </c>
      <c r="M17" s="2690"/>
      <c r="N17" s="2690"/>
      <c r="O17" s="2691"/>
    </row>
    <row r="18" spans="1:15" ht="18" customHeight="1">
      <c r="A18" s="12"/>
      <c r="B18" s="12"/>
      <c r="C18" s="16"/>
      <c r="D18" s="14"/>
      <c r="E18" s="15"/>
      <c r="F18" s="14"/>
      <c r="G18" s="11"/>
      <c r="H18" s="17"/>
      <c r="L18" s="2689" t="s">
        <v>322</v>
      </c>
      <c r="M18" s="2690"/>
      <c r="N18" s="2691"/>
      <c r="O18" s="2686" t="s">
        <v>323</v>
      </c>
    </row>
    <row r="19" spans="1:15" ht="18" customHeight="1">
      <c r="A19" s="12"/>
      <c r="B19" s="12"/>
      <c r="C19" s="16"/>
      <c r="D19" s="14"/>
      <c r="E19" s="15"/>
      <c r="F19" s="14"/>
      <c r="G19" s="11"/>
      <c r="H19" s="17"/>
      <c r="L19" s="493" t="s">
        <v>324</v>
      </c>
      <c r="M19" s="2668" t="s">
        <v>325</v>
      </c>
      <c r="N19" s="2669"/>
      <c r="O19" s="2688"/>
    </row>
    <row r="20" spans="1:15" ht="20" customHeight="1">
      <c r="A20" s="12"/>
      <c r="B20" s="12"/>
      <c r="C20" s="16"/>
      <c r="D20" s="14"/>
      <c r="E20" s="15"/>
      <c r="F20" s="14"/>
      <c r="G20" s="11"/>
      <c r="H20" s="17"/>
      <c r="I20" s="17"/>
      <c r="J20" s="14"/>
      <c r="K20" s="14"/>
      <c r="L20" s="2686" t="s">
        <v>2986</v>
      </c>
      <c r="M20" s="2680" t="s">
        <v>2987</v>
      </c>
      <c r="N20" s="2681"/>
      <c r="O20" s="2686" t="s">
        <v>2988</v>
      </c>
    </row>
    <row r="21" spans="1:15" ht="20" customHeight="1">
      <c r="A21" s="12"/>
      <c r="B21" s="12"/>
      <c r="C21" s="16"/>
      <c r="D21" s="14"/>
      <c r="E21" s="15"/>
      <c r="F21" s="14"/>
      <c r="G21" s="11"/>
      <c r="H21" s="17"/>
      <c r="I21" s="17"/>
      <c r="J21" s="494"/>
      <c r="K21" s="495"/>
      <c r="L21" s="2687"/>
      <c r="M21" s="2682"/>
      <c r="N21" s="2683"/>
      <c r="O21" s="2687"/>
    </row>
    <row r="22" spans="1:15" ht="20" customHeight="1">
      <c r="A22" s="12"/>
      <c r="B22" s="12"/>
      <c r="C22" s="16"/>
      <c r="D22" s="14"/>
      <c r="E22" s="15"/>
      <c r="F22" s="14"/>
      <c r="G22" s="11"/>
      <c r="H22" s="17"/>
      <c r="I22" s="17"/>
      <c r="J22" s="14"/>
      <c r="K22" s="14"/>
      <c r="L22" s="2688"/>
      <c r="M22" s="2684"/>
      <c r="N22" s="2685"/>
      <c r="O22" s="2688"/>
    </row>
    <row r="23" spans="1:15" ht="20" customHeight="1">
      <c r="A23" s="12"/>
      <c r="B23" s="12"/>
      <c r="C23" s="16"/>
      <c r="D23" s="14"/>
      <c r="E23" s="15"/>
      <c r="F23" s="50"/>
      <c r="G23" s="11"/>
      <c r="H23" s="17"/>
      <c r="I23" s="17"/>
      <c r="L23" s="492"/>
      <c r="M23" s="492"/>
      <c r="N23" s="492"/>
      <c r="O23" s="492"/>
    </row>
    <row r="24" spans="1:15" ht="20" customHeight="1">
      <c r="B24" s="1"/>
      <c r="E24" s="15"/>
      <c r="F24" s="50">
        <v>0</v>
      </c>
      <c r="H24" s="17"/>
      <c r="I24" s="1"/>
      <c r="J24" s="19"/>
      <c r="K24" s="14"/>
      <c r="L24" s="14"/>
    </row>
    <row r="25" spans="1:15" ht="20" customHeight="1">
      <c r="B25" s="14" t="s">
        <v>261</v>
      </c>
      <c r="E25" s="15"/>
      <c r="F25" s="50"/>
      <c r="H25" s="354">
        <f>work!H18</f>
        <v>11</v>
      </c>
      <c r="I25" s="94">
        <v>2</v>
      </c>
      <c r="J25" s="355"/>
      <c r="K25" s="14"/>
      <c r="L25" s="14"/>
    </row>
    <row r="26" spans="1:15" customFormat="1" ht="26.25" customHeight="1" thickBot="1">
      <c r="E26" s="313" t="s">
        <v>317</v>
      </c>
      <c r="L26" s="314" t="s">
        <v>246</v>
      </c>
      <c r="M26" s="315"/>
      <c r="N26" s="316"/>
      <c r="O26" s="317"/>
    </row>
    <row r="27" spans="1:15" customFormat="1" ht="21" customHeight="1">
      <c r="A27" s="2702" t="s">
        <v>247</v>
      </c>
      <c r="B27" s="2703" t="s">
        <v>9</v>
      </c>
      <c r="C27" s="2704" t="s">
        <v>248</v>
      </c>
      <c r="D27" s="2705"/>
      <c r="E27" s="2678" t="s">
        <v>20</v>
      </c>
      <c r="F27" s="2677" t="s">
        <v>249</v>
      </c>
      <c r="G27" s="2677"/>
      <c r="H27" s="2678" t="s">
        <v>22</v>
      </c>
      <c r="I27" s="2678" t="s">
        <v>250</v>
      </c>
      <c r="J27" s="2677" t="s">
        <v>251</v>
      </c>
      <c r="K27" s="2677"/>
      <c r="L27" s="836" t="s">
        <v>252</v>
      </c>
      <c r="M27" s="2671" t="s">
        <v>253</v>
      </c>
      <c r="N27" s="2672"/>
      <c r="O27" s="2673"/>
    </row>
    <row r="28" spans="1:15" customFormat="1" ht="21" customHeight="1">
      <c r="A28" s="2702"/>
      <c r="B28" s="2703"/>
      <c r="C28" s="2706"/>
      <c r="D28" s="2707"/>
      <c r="E28" s="2679"/>
      <c r="F28" s="319" t="s">
        <v>254</v>
      </c>
      <c r="G28" s="320" t="s">
        <v>255</v>
      </c>
      <c r="H28" s="2679"/>
      <c r="I28" s="2679"/>
      <c r="J28" s="320" t="s">
        <v>256</v>
      </c>
      <c r="K28" s="319" t="s">
        <v>257</v>
      </c>
      <c r="L28" s="221" t="s">
        <v>258</v>
      </c>
      <c r="M28" s="2674"/>
      <c r="N28" s="2675"/>
      <c r="O28" s="2676"/>
    </row>
    <row r="29" spans="1:15" customFormat="1" ht="25" customHeight="1">
      <c r="A29" s="321"/>
      <c r="B29" s="321"/>
      <c r="C29" s="322"/>
      <c r="D29" s="323"/>
      <c r="E29" s="324"/>
      <c r="F29" s="325"/>
      <c r="G29" s="326"/>
      <c r="H29" s="327"/>
      <c r="I29" s="328"/>
      <c r="J29" s="2569"/>
      <c r="K29" s="2569"/>
      <c r="L29" s="2569"/>
      <c r="M29" s="329"/>
      <c r="N29" s="330"/>
      <c r="O29" s="331"/>
    </row>
    <row r="30" spans="1:15" customFormat="1" ht="25" customHeight="1">
      <c r="A30" s="332"/>
      <c r="B30" s="332"/>
      <c r="C30" s="333"/>
      <c r="D30" s="323" t="s">
        <v>2976</v>
      </c>
      <c r="E30" s="324"/>
      <c r="F30" s="334"/>
      <c r="G30" s="335"/>
      <c r="H30" s="336"/>
      <c r="I30" s="337"/>
      <c r="J30" s="2566">
        <f>+J58</f>
        <v>162941000</v>
      </c>
      <c r="K30" s="2566">
        <f>+J30+L30</f>
        <v>166577000</v>
      </c>
      <c r="L30" s="2566">
        <f>+L58</f>
        <v>3636000</v>
      </c>
      <c r="M30" s="338"/>
      <c r="N30" s="338"/>
      <c r="O30" s="339"/>
    </row>
    <row r="31" spans="1:15" customFormat="1" ht="25" customHeight="1">
      <c r="A31" s="332"/>
      <c r="B31" s="332"/>
      <c r="C31" s="333"/>
      <c r="D31" s="323" t="s">
        <v>13</v>
      </c>
      <c r="E31" s="324"/>
      <c r="F31" s="334"/>
      <c r="G31" s="335"/>
      <c r="H31" s="336"/>
      <c r="I31" s="337"/>
      <c r="J31" s="2566">
        <f>+J30*0.1</f>
        <v>16294100</v>
      </c>
      <c r="K31" s="2566">
        <f>+J31+L31</f>
        <v>16657700</v>
      </c>
      <c r="L31" s="2566">
        <f>+L30*0.1</f>
        <v>363600</v>
      </c>
      <c r="M31" s="338"/>
      <c r="N31" s="338"/>
      <c r="O31" s="339"/>
    </row>
    <row r="32" spans="1:15" customFormat="1" ht="25" customHeight="1">
      <c r="A32" s="332"/>
      <c r="B32" s="332"/>
      <c r="C32" s="333"/>
      <c r="D32" s="323" t="s">
        <v>2977</v>
      </c>
      <c r="E32" s="324"/>
      <c r="F32" s="334"/>
      <c r="G32" s="335"/>
      <c r="H32" s="336"/>
      <c r="I32" s="337"/>
      <c r="J32" s="2566">
        <f>+J30+J31</f>
        <v>179235100</v>
      </c>
      <c r="K32" s="2566">
        <f t="shared" ref="K32:L32" si="0">+K30+K31</f>
        <v>183234700</v>
      </c>
      <c r="L32" s="2566">
        <f t="shared" si="0"/>
        <v>3999600</v>
      </c>
      <c r="M32" s="338"/>
      <c r="N32" s="338"/>
      <c r="O32" s="339"/>
    </row>
    <row r="33" spans="1:17" customFormat="1" ht="25" customHeight="1">
      <c r="A33" s="332"/>
      <c r="B33" s="332"/>
      <c r="C33" s="333"/>
      <c r="D33" s="323"/>
      <c r="E33" s="324"/>
      <c r="F33" s="334"/>
      <c r="G33" s="335"/>
      <c r="H33" s="336"/>
      <c r="I33" s="337"/>
      <c r="J33" s="2566"/>
      <c r="K33" s="2566"/>
      <c r="L33" s="2566"/>
      <c r="M33" s="338"/>
      <c r="N33" s="338"/>
      <c r="O33" s="339"/>
    </row>
    <row r="34" spans="1:17" customFormat="1" ht="25" customHeight="1">
      <c r="A34" s="332"/>
      <c r="B34" s="332"/>
      <c r="C34" s="333"/>
      <c r="D34" s="323"/>
      <c r="E34" s="324"/>
      <c r="F34" s="334"/>
      <c r="G34" s="335"/>
      <c r="H34" s="336"/>
      <c r="I34" s="337"/>
      <c r="J34" s="2566"/>
      <c r="K34" s="2566"/>
      <c r="L34" s="2566"/>
      <c r="M34" s="338"/>
      <c r="N34" s="338"/>
      <c r="O34" s="339"/>
    </row>
    <row r="35" spans="1:17" customFormat="1" ht="25" customHeight="1">
      <c r="A35" s="332"/>
      <c r="B35" s="332"/>
      <c r="C35" s="333"/>
      <c r="D35" s="323" t="s">
        <v>2978</v>
      </c>
      <c r="E35" s="324"/>
      <c r="F35" s="334"/>
      <c r="G35" s="335"/>
      <c r="H35" s="336"/>
      <c r="I35" s="337"/>
      <c r="J35" s="2566">
        <f>+J66</f>
        <v>196059000</v>
      </c>
      <c r="K35" s="2566">
        <f>+J35+L35</f>
        <v>198713000</v>
      </c>
      <c r="L35" s="2566">
        <f>+L66</f>
        <v>2654000</v>
      </c>
      <c r="M35" s="338"/>
      <c r="N35" s="338"/>
      <c r="O35" s="339"/>
    </row>
    <row r="36" spans="1:17" customFormat="1" ht="25" customHeight="1">
      <c r="A36" s="332"/>
      <c r="B36" s="332"/>
      <c r="C36" s="333"/>
      <c r="D36" s="323" t="s">
        <v>13</v>
      </c>
      <c r="E36" s="324"/>
      <c r="F36" s="334"/>
      <c r="G36" s="335"/>
      <c r="H36" s="336"/>
      <c r="I36" s="337"/>
      <c r="J36" s="2566">
        <f>+J35*0.1</f>
        <v>19605900</v>
      </c>
      <c r="K36" s="2566">
        <f>+J36+L36</f>
        <v>19871300</v>
      </c>
      <c r="L36" s="2566">
        <f>+L35*0.1</f>
        <v>265400</v>
      </c>
      <c r="M36" s="338"/>
      <c r="N36" s="338"/>
      <c r="O36" s="339"/>
    </row>
    <row r="37" spans="1:17" customFormat="1" ht="25" customHeight="1">
      <c r="A37" s="332"/>
      <c r="B37" s="332"/>
      <c r="C37" s="333"/>
      <c r="D37" s="323" t="s">
        <v>2977</v>
      </c>
      <c r="E37" s="324"/>
      <c r="F37" s="334"/>
      <c r="G37" s="335"/>
      <c r="H37" s="336"/>
      <c r="I37" s="337"/>
      <c r="J37" s="2566">
        <f>+J35+J36</f>
        <v>215664900</v>
      </c>
      <c r="K37" s="2566">
        <f t="shared" ref="K37" si="1">+K35+K36</f>
        <v>218584300</v>
      </c>
      <c r="L37" s="2566">
        <f t="shared" ref="L37" si="2">+L35+L36</f>
        <v>2919400</v>
      </c>
      <c r="M37" s="338"/>
      <c r="N37" s="338"/>
      <c r="O37" s="339"/>
    </row>
    <row r="38" spans="1:17" customFormat="1" ht="25" customHeight="1">
      <c r="A38" s="332"/>
      <c r="B38" s="332"/>
      <c r="C38" s="333"/>
      <c r="D38" s="323"/>
      <c r="E38" s="324"/>
      <c r="F38" s="334"/>
      <c r="G38" s="335"/>
      <c r="H38" s="336"/>
      <c r="I38" s="337"/>
      <c r="J38" s="2566"/>
      <c r="K38" s="2566"/>
      <c r="L38" s="2566"/>
      <c r="M38" s="338"/>
      <c r="N38" s="338"/>
      <c r="O38" s="339"/>
    </row>
    <row r="39" spans="1:17" customFormat="1" ht="25" customHeight="1">
      <c r="A39" s="332"/>
      <c r="B39" s="332"/>
      <c r="C39" s="333"/>
      <c r="D39" s="323"/>
      <c r="E39" s="324"/>
      <c r="F39" s="334"/>
      <c r="G39" s="335"/>
      <c r="H39" s="336"/>
      <c r="I39" s="337"/>
      <c r="J39" s="2566"/>
      <c r="K39" s="2566"/>
      <c r="L39" s="2566"/>
      <c r="M39" s="338"/>
      <c r="N39" s="338"/>
      <c r="O39" s="339"/>
    </row>
    <row r="40" spans="1:17" customFormat="1" ht="25" customHeight="1">
      <c r="A40" s="332"/>
      <c r="B40" s="332"/>
      <c r="C40" s="333"/>
      <c r="D40" s="323"/>
      <c r="E40" s="324"/>
      <c r="F40" s="334"/>
      <c r="G40" s="335"/>
      <c r="H40" s="336"/>
      <c r="I40" s="337"/>
      <c r="J40" s="2566"/>
      <c r="K40" s="2566"/>
      <c r="L40" s="2566"/>
      <c r="M40" s="338"/>
      <c r="N40" s="338"/>
      <c r="O40" s="339"/>
    </row>
    <row r="41" spans="1:17" customFormat="1" ht="25" customHeight="1">
      <c r="A41" s="332"/>
      <c r="B41" s="332"/>
      <c r="C41" s="333"/>
      <c r="D41" s="323"/>
      <c r="E41" s="324"/>
      <c r="F41" s="334"/>
      <c r="G41" s="335"/>
      <c r="H41" s="336"/>
      <c r="I41" s="337"/>
      <c r="J41" s="2566"/>
      <c r="K41" s="2566"/>
      <c r="L41" s="2566"/>
      <c r="M41" s="338"/>
      <c r="N41" s="338"/>
      <c r="O41" s="339"/>
    </row>
    <row r="42" spans="1:17" customFormat="1" ht="25" customHeight="1">
      <c r="A42" s="332"/>
      <c r="B42" s="332"/>
      <c r="C42" s="333"/>
      <c r="D42" s="340"/>
      <c r="E42" s="324"/>
      <c r="F42" s="334"/>
      <c r="G42" s="335"/>
      <c r="H42" s="336"/>
      <c r="I42" s="337"/>
      <c r="J42" s="2566"/>
      <c r="K42" s="2566"/>
      <c r="L42" s="2566"/>
      <c r="M42" s="338"/>
      <c r="N42" s="338"/>
      <c r="O42" s="339"/>
    </row>
    <row r="43" spans="1:17" customFormat="1" ht="25" customHeight="1">
      <c r="A43" s="332"/>
      <c r="B43" s="332"/>
      <c r="C43" s="333"/>
      <c r="D43" s="341"/>
      <c r="E43" s="324"/>
      <c r="F43" s="334"/>
      <c r="G43" s="335"/>
      <c r="H43" s="336"/>
      <c r="I43" s="337"/>
      <c r="J43" s="2566"/>
      <c r="K43" s="2566"/>
      <c r="L43" s="2566"/>
      <c r="M43" s="338"/>
      <c r="N43" s="338"/>
      <c r="O43" s="339"/>
    </row>
    <row r="44" spans="1:17" customFormat="1" ht="25" customHeight="1" thickBot="1">
      <c r="A44" s="332"/>
      <c r="B44" s="332"/>
      <c r="C44" s="2546"/>
      <c r="D44" s="2547"/>
      <c r="E44" s="2548"/>
      <c r="F44" s="2549"/>
      <c r="G44" s="2550"/>
      <c r="H44" s="2551"/>
      <c r="I44" s="2552"/>
      <c r="J44" s="2570"/>
      <c r="K44" s="2570"/>
      <c r="L44" s="2570"/>
      <c r="M44" s="2553"/>
      <c r="N44" s="2553"/>
      <c r="O44" s="2554"/>
    </row>
    <row r="45" spans="1:17" customFormat="1" ht="25" customHeight="1" thickTop="1">
      <c r="A45" s="332"/>
      <c r="B45" s="332"/>
      <c r="C45" s="2555"/>
      <c r="D45" s="2556" t="s">
        <v>2977</v>
      </c>
      <c r="E45" s="2557"/>
      <c r="F45" s="2558"/>
      <c r="G45" s="2559"/>
      <c r="H45" s="2560"/>
      <c r="I45" s="2561"/>
      <c r="J45" s="2571">
        <f>+J30+J35</f>
        <v>359000000</v>
      </c>
      <c r="K45" s="2571">
        <f>+J45+L45</f>
        <v>365290000</v>
      </c>
      <c r="L45" s="2571">
        <f>+L30+L35</f>
        <v>6290000</v>
      </c>
      <c r="M45" s="2562"/>
      <c r="N45" s="2562"/>
      <c r="O45" s="2563"/>
    </row>
    <row r="46" spans="1:17" customFormat="1" ht="25" customHeight="1">
      <c r="A46" s="332"/>
      <c r="B46" s="332"/>
      <c r="C46" s="333"/>
      <c r="D46" s="341" t="s">
        <v>13</v>
      </c>
      <c r="E46" s="324"/>
      <c r="F46" s="342"/>
      <c r="G46" s="337"/>
      <c r="H46" s="336"/>
      <c r="I46" s="337"/>
      <c r="J46" s="2566">
        <f>+J45*0.1</f>
        <v>35900000</v>
      </c>
      <c r="K46" s="2567">
        <f>+J46+L46</f>
        <v>36529000</v>
      </c>
      <c r="L46" s="2566">
        <f>+L45*0.1</f>
        <v>629000</v>
      </c>
      <c r="M46" s="342"/>
      <c r="N46" s="342"/>
      <c r="O46" s="343"/>
    </row>
    <row r="47" spans="1:17" customFormat="1" ht="25" customHeight="1" thickBot="1">
      <c r="A47" s="332"/>
      <c r="B47" s="332"/>
      <c r="C47" s="344"/>
      <c r="D47" s="345" t="s">
        <v>2985</v>
      </c>
      <c r="E47" s="346"/>
      <c r="F47" s="347"/>
      <c r="G47" s="348"/>
      <c r="H47" s="349"/>
      <c r="I47" s="348"/>
      <c r="J47" s="2572">
        <f t="shared" ref="J47" si="3">+J45+J46</f>
        <v>394900000</v>
      </c>
      <c r="K47" s="2572">
        <f>+K45+K46</f>
        <v>401819000</v>
      </c>
      <c r="L47" s="2572">
        <f t="shared" ref="L47" si="4">+L45+L46</f>
        <v>6919000</v>
      </c>
      <c r="M47" s="347"/>
      <c r="N47" s="347"/>
      <c r="O47" s="350"/>
    </row>
    <row r="48" spans="1:17" ht="14.25" customHeight="1">
      <c r="E48" s="34" t="s">
        <v>260</v>
      </c>
      <c r="F48" s="95">
        <f>F25+1</f>
        <v>1</v>
      </c>
      <c r="G48" s="35"/>
      <c r="H48" s="351">
        <f>H25</f>
        <v>11</v>
      </c>
      <c r="I48" s="1" t="s">
        <v>49</v>
      </c>
      <c r="J48" s="352">
        <f>+H48</f>
        <v>11</v>
      </c>
      <c r="M48" s="353" t="str">
        <f>P48</f>
        <v/>
      </c>
      <c r="N48" s="353">
        <f>Q48</f>
        <v>1</v>
      </c>
      <c r="P48" s="40" t="str">
        <f>IF(A50="","EOL","")</f>
        <v/>
      </c>
      <c r="Q48" s="1">
        <f>+F48</f>
        <v>1</v>
      </c>
    </row>
    <row r="49" spans="1:15" customFormat="1" ht="26.25" customHeight="1" thickBot="1">
      <c r="E49" s="313" t="s">
        <v>317</v>
      </c>
      <c r="L49" s="314" t="s">
        <v>246</v>
      </c>
      <c r="M49" s="315"/>
      <c r="N49" s="316"/>
      <c r="O49" s="317"/>
    </row>
    <row r="50" spans="1:15" customFormat="1" ht="21" customHeight="1">
      <c r="A50" s="2702" t="s">
        <v>247</v>
      </c>
      <c r="B50" s="2703" t="s">
        <v>9</v>
      </c>
      <c r="C50" s="2704" t="s">
        <v>248</v>
      </c>
      <c r="D50" s="2705"/>
      <c r="E50" s="2678" t="s">
        <v>20</v>
      </c>
      <c r="F50" s="2677" t="s">
        <v>249</v>
      </c>
      <c r="G50" s="2677"/>
      <c r="H50" s="2678" t="s">
        <v>22</v>
      </c>
      <c r="I50" s="2678" t="s">
        <v>250</v>
      </c>
      <c r="J50" s="2677" t="s">
        <v>251</v>
      </c>
      <c r="K50" s="2677"/>
      <c r="L50" s="318" t="s">
        <v>252</v>
      </c>
      <c r="M50" s="2671" t="s">
        <v>253</v>
      </c>
      <c r="N50" s="2672"/>
      <c r="O50" s="2673"/>
    </row>
    <row r="51" spans="1:15" customFormat="1" ht="21" customHeight="1">
      <c r="A51" s="2702"/>
      <c r="B51" s="2703"/>
      <c r="C51" s="2706"/>
      <c r="D51" s="2707"/>
      <c r="E51" s="2679"/>
      <c r="F51" s="319" t="s">
        <v>254</v>
      </c>
      <c r="G51" s="320" t="s">
        <v>255</v>
      </c>
      <c r="H51" s="2679"/>
      <c r="I51" s="2679"/>
      <c r="J51" s="320" t="s">
        <v>256</v>
      </c>
      <c r="K51" s="319" t="s">
        <v>257</v>
      </c>
      <c r="L51" s="221" t="s">
        <v>258</v>
      </c>
      <c r="M51" s="2674"/>
      <c r="N51" s="2675"/>
      <c r="O51" s="2676"/>
    </row>
    <row r="52" spans="1:15" customFormat="1" ht="25" customHeight="1">
      <c r="A52" s="321"/>
      <c r="B52" s="321"/>
      <c r="C52" s="322"/>
      <c r="D52" s="323" t="s">
        <v>2976</v>
      </c>
      <c r="E52" s="324"/>
      <c r="F52" s="325"/>
      <c r="G52" s="326"/>
      <c r="H52" s="327"/>
      <c r="I52" s="328" t="s">
        <v>11</v>
      </c>
      <c r="J52" s="328" t="s">
        <v>11</v>
      </c>
      <c r="K52" s="328" t="s">
        <v>11</v>
      </c>
      <c r="L52" s="328" t="s">
        <v>11</v>
      </c>
      <c r="M52" s="329"/>
      <c r="N52" s="330"/>
      <c r="O52" s="331" t="s">
        <v>3045</v>
      </c>
    </row>
    <row r="53" spans="1:15" customFormat="1" ht="25" customHeight="1">
      <c r="A53" s="332"/>
      <c r="B53" s="332"/>
      <c r="C53" s="333"/>
      <c r="D53" s="2544" t="s">
        <v>2979</v>
      </c>
      <c r="E53" s="324" t="s">
        <v>262</v>
      </c>
      <c r="F53" s="334">
        <f>IF(L53="","",IF(L53&lt;0,"",1))</f>
        <v>1</v>
      </c>
      <c r="G53" s="335" t="str">
        <f>IF(L53="","",IF(L53&lt;0,1,""))</f>
        <v/>
      </c>
      <c r="H53" s="336" t="str">
        <f>IF(L53="","","式")</f>
        <v>式</v>
      </c>
      <c r="I53" s="337"/>
      <c r="J53" s="2566">
        <v>30808000</v>
      </c>
      <c r="K53" s="2566">
        <f>+J53+L53</f>
        <v>34444000</v>
      </c>
      <c r="L53" s="2573">
        <f>+工事1!I24</f>
        <v>3636000</v>
      </c>
      <c r="M53" s="342" t="s">
        <v>259</v>
      </c>
      <c r="N53" s="342"/>
      <c r="O53" s="343" t="s">
        <v>3043</v>
      </c>
    </row>
    <row r="54" spans="1:15" customFormat="1" ht="25" customHeight="1">
      <c r="A54" s="332"/>
      <c r="B54" s="332"/>
      <c r="C54" s="333"/>
      <c r="D54" s="2544" t="s">
        <v>2980</v>
      </c>
      <c r="E54" s="324" t="s">
        <v>262</v>
      </c>
      <c r="F54" s="334">
        <f>IF(L54="","",IF(L54&lt;0,"",1))</f>
        <v>1</v>
      </c>
      <c r="G54" s="335" t="str">
        <f>IF(L54="","",IF(L54&lt;0,1,""))</f>
        <v/>
      </c>
      <c r="H54" s="336" t="str">
        <f t="shared" ref="H54:H65" si="5">IF(L54="","","式")</f>
        <v>式</v>
      </c>
      <c r="I54" s="337"/>
      <c r="J54" s="2566">
        <v>20434000</v>
      </c>
      <c r="K54" s="2566">
        <f t="shared" ref="K54:K57" si="6">+J54+L54</f>
        <v>20434000</v>
      </c>
      <c r="L54" s="2573">
        <v>0</v>
      </c>
      <c r="M54" s="342" t="s">
        <v>259</v>
      </c>
      <c r="N54" s="342"/>
      <c r="O54" s="343"/>
    </row>
    <row r="55" spans="1:15" customFormat="1" ht="25" customHeight="1">
      <c r="A55" s="332"/>
      <c r="B55" s="332"/>
      <c r="C55" s="333"/>
      <c r="D55" s="2544" t="s">
        <v>2981</v>
      </c>
      <c r="E55" s="324" t="s">
        <v>262</v>
      </c>
      <c r="F55" s="334">
        <f t="shared" ref="F55:F65" si="7">IF(L55="","",IF(L55&lt;0,"",1))</f>
        <v>1</v>
      </c>
      <c r="G55" s="335" t="str">
        <f t="shared" ref="G55:G65" si="8">IF(L55="","",IF(L55&lt;0,1,""))</f>
        <v/>
      </c>
      <c r="H55" s="336" t="str">
        <f t="shared" si="5"/>
        <v>式</v>
      </c>
      <c r="I55" s="337"/>
      <c r="J55" s="2566">
        <v>1956000</v>
      </c>
      <c r="K55" s="2566">
        <f t="shared" si="6"/>
        <v>1956000</v>
      </c>
      <c r="L55" s="2573">
        <v>0</v>
      </c>
      <c r="M55" s="342" t="s">
        <v>259</v>
      </c>
      <c r="N55" s="342"/>
      <c r="O55" s="343"/>
    </row>
    <row r="56" spans="1:15" customFormat="1" ht="25" customHeight="1">
      <c r="A56" s="332"/>
      <c r="B56" s="332"/>
      <c r="C56" s="333"/>
      <c r="D56" s="2544" t="s">
        <v>2982</v>
      </c>
      <c r="E56" s="324" t="s">
        <v>262</v>
      </c>
      <c r="F56" s="334">
        <f t="shared" si="7"/>
        <v>1</v>
      </c>
      <c r="G56" s="335" t="str">
        <f t="shared" si="8"/>
        <v/>
      </c>
      <c r="H56" s="336" t="str">
        <f t="shared" si="5"/>
        <v>式</v>
      </c>
      <c r="I56" s="337"/>
      <c r="J56" s="2566">
        <v>100279000</v>
      </c>
      <c r="K56" s="2566">
        <f t="shared" si="6"/>
        <v>100279000</v>
      </c>
      <c r="L56" s="2573">
        <v>0</v>
      </c>
      <c r="M56" s="342" t="s">
        <v>259</v>
      </c>
      <c r="N56" s="342"/>
      <c r="O56" s="343"/>
    </row>
    <row r="57" spans="1:15" customFormat="1" ht="25" customHeight="1">
      <c r="A57" s="332"/>
      <c r="B57" s="332"/>
      <c r="C57" s="333"/>
      <c r="D57" s="2544" t="s">
        <v>2983</v>
      </c>
      <c r="E57" s="324" t="s">
        <v>262</v>
      </c>
      <c r="F57" s="334">
        <f t="shared" si="7"/>
        <v>1</v>
      </c>
      <c r="G57" s="335" t="str">
        <f t="shared" si="8"/>
        <v/>
      </c>
      <c r="H57" s="336" t="str">
        <f t="shared" si="5"/>
        <v>式</v>
      </c>
      <c r="I57" s="337"/>
      <c r="J57" s="2566">
        <v>9464000</v>
      </c>
      <c r="K57" s="2566">
        <f t="shared" si="6"/>
        <v>9464000</v>
      </c>
      <c r="L57" s="2573">
        <v>0</v>
      </c>
      <c r="M57" s="342" t="s">
        <v>259</v>
      </c>
      <c r="N57" s="342"/>
      <c r="O57" s="343"/>
    </row>
    <row r="58" spans="1:15" customFormat="1" ht="25" customHeight="1">
      <c r="A58" s="332"/>
      <c r="B58" s="332"/>
      <c r="C58" s="333"/>
      <c r="D58" s="323" t="s">
        <v>2984</v>
      </c>
      <c r="E58" s="324"/>
      <c r="F58" s="334"/>
      <c r="G58" s="335"/>
      <c r="H58" s="336"/>
      <c r="I58" s="337"/>
      <c r="J58" s="2566">
        <f t="shared" ref="J58:L58" si="9">SUM(J53:J57)</f>
        <v>162941000</v>
      </c>
      <c r="K58" s="2566">
        <f>SUM(K53:K57)</f>
        <v>166577000</v>
      </c>
      <c r="L58" s="2574">
        <f t="shared" si="9"/>
        <v>3636000</v>
      </c>
      <c r="M58" s="342"/>
      <c r="N58" s="342"/>
      <c r="O58" s="343"/>
    </row>
    <row r="59" spans="1:15" customFormat="1" ht="25" customHeight="1">
      <c r="A59" s="332"/>
      <c r="B59" s="332"/>
      <c r="C59" s="333"/>
      <c r="D59" s="323" t="s">
        <v>13</v>
      </c>
      <c r="E59" s="324"/>
      <c r="F59" s="334">
        <f t="shared" si="7"/>
        <v>1</v>
      </c>
      <c r="G59" s="335" t="str">
        <f t="shared" si="8"/>
        <v/>
      </c>
      <c r="H59" s="336" t="str">
        <f t="shared" si="5"/>
        <v>式</v>
      </c>
      <c r="I59" s="337"/>
      <c r="J59" s="2566">
        <f>+J58*0.1</f>
        <v>16294100</v>
      </c>
      <c r="K59" s="2566">
        <f>+K58*0.1</f>
        <v>16657700</v>
      </c>
      <c r="L59" s="2566">
        <f>+L58*0.1</f>
        <v>363600</v>
      </c>
      <c r="M59" s="342"/>
      <c r="N59" s="342"/>
      <c r="O59" s="343"/>
    </row>
    <row r="60" spans="1:15" customFormat="1" ht="25" customHeight="1">
      <c r="A60" s="332"/>
      <c r="B60" s="332"/>
      <c r="C60" s="333"/>
      <c r="D60" s="323" t="s">
        <v>2977</v>
      </c>
      <c r="E60" s="324"/>
      <c r="F60" s="334"/>
      <c r="G60" s="335"/>
      <c r="H60" s="336"/>
      <c r="I60" s="337"/>
      <c r="J60" s="2566">
        <f>+J58+J59</f>
        <v>179235100</v>
      </c>
      <c r="K60" s="2566">
        <f>+K58+K59</f>
        <v>183234700</v>
      </c>
      <c r="L60" s="2566">
        <f>+L58+L59</f>
        <v>3999600</v>
      </c>
      <c r="M60" s="342"/>
      <c r="N60" s="342"/>
      <c r="O60" s="343"/>
    </row>
    <row r="61" spans="1:15" customFormat="1" ht="25" customHeight="1">
      <c r="A61" s="332"/>
      <c r="B61" s="332"/>
      <c r="C61" s="333"/>
      <c r="D61" s="323"/>
      <c r="E61" s="324"/>
      <c r="F61" s="334" t="str">
        <f t="shared" si="7"/>
        <v/>
      </c>
      <c r="G61" s="335" t="str">
        <f t="shared" si="8"/>
        <v/>
      </c>
      <c r="H61" s="336" t="str">
        <f t="shared" si="5"/>
        <v/>
      </c>
      <c r="I61" s="337"/>
      <c r="J61" s="2566"/>
      <c r="K61" s="2566"/>
      <c r="L61" s="2566"/>
      <c r="M61" s="342"/>
      <c r="N61" s="342"/>
      <c r="O61" s="343"/>
    </row>
    <row r="62" spans="1:15" customFormat="1" ht="25" customHeight="1">
      <c r="A62" s="332"/>
      <c r="B62" s="332"/>
      <c r="C62" s="333"/>
      <c r="D62" s="323" t="s">
        <v>2978</v>
      </c>
      <c r="E62" s="324"/>
      <c r="F62" s="334" t="str">
        <f t="shared" si="7"/>
        <v/>
      </c>
      <c r="G62" s="335" t="str">
        <f t="shared" si="8"/>
        <v/>
      </c>
      <c r="H62" s="336" t="str">
        <f t="shared" si="5"/>
        <v/>
      </c>
      <c r="I62" s="337"/>
      <c r="J62" s="2566"/>
      <c r="K62" s="2566"/>
      <c r="L62" s="2566"/>
      <c r="M62" s="342"/>
      <c r="N62" s="342"/>
      <c r="O62" s="343" t="s">
        <v>3045</v>
      </c>
    </row>
    <row r="63" spans="1:15" customFormat="1" ht="25" customHeight="1">
      <c r="A63" s="332"/>
      <c r="B63" s="332"/>
      <c r="C63" s="333"/>
      <c r="D63" s="2544" t="s">
        <v>2979</v>
      </c>
      <c r="E63" s="324" t="s">
        <v>262</v>
      </c>
      <c r="F63" s="334">
        <f t="shared" si="7"/>
        <v>1</v>
      </c>
      <c r="G63" s="335" t="str">
        <f t="shared" si="8"/>
        <v/>
      </c>
      <c r="H63" s="336" t="str">
        <f t="shared" si="5"/>
        <v>式</v>
      </c>
      <c r="I63" s="337"/>
      <c r="J63" s="2566">
        <v>41189000</v>
      </c>
      <c r="K63" s="2566">
        <f>+J63+L63</f>
        <v>43843000</v>
      </c>
      <c r="L63" s="2573">
        <f>+工事2!I24</f>
        <v>2654000</v>
      </c>
      <c r="M63" s="342" t="s">
        <v>259</v>
      </c>
      <c r="N63" s="342"/>
      <c r="O63" s="343" t="s">
        <v>3044</v>
      </c>
    </row>
    <row r="64" spans="1:15" customFormat="1" ht="25" customHeight="1">
      <c r="A64" s="332"/>
      <c r="B64" s="332"/>
      <c r="C64" s="333"/>
      <c r="D64" s="2544" t="s">
        <v>2980</v>
      </c>
      <c r="E64" s="324" t="s">
        <v>262</v>
      </c>
      <c r="F64" s="334">
        <f t="shared" si="7"/>
        <v>1</v>
      </c>
      <c r="G64" s="335" t="str">
        <f t="shared" si="8"/>
        <v/>
      </c>
      <c r="H64" s="336" t="str">
        <f t="shared" si="5"/>
        <v>式</v>
      </c>
      <c r="I64" s="337"/>
      <c r="J64" s="2566">
        <v>26289000</v>
      </c>
      <c r="K64" s="2566">
        <f t="shared" ref="K64:K65" si="10">+J64+L64</f>
        <v>26289000</v>
      </c>
      <c r="L64" s="2573">
        <v>0</v>
      </c>
      <c r="M64" s="342" t="s">
        <v>259</v>
      </c>
      <c r="N64" s="342"/>
      <c r="O64" s="343"/>
    </row>
    <row r="65" spans="1:17" customFormat="1" ht="25" customHeight="1">
      <c r="A65" s="332"/>
      <c r="B65" s="332"/>
      <c r="C65" s="333"/>
      <c r="D65" s="2545" t="s">
        <v>2982</v>
      </c>
      <c r="E65" s="324" t="s">
        <v>262</v>
      </c>
      <c r="F65" s="334">
        <f t="shared" si="7"/>
        <v>1</v>
      </c>
      <c r="G65" s="335" t="str">
        <f t="shared" si="8"/>
        <v/>
      </c>
      <c r="H65" s="336" t="str">
        <f t="shared" si="5"/>
        <v>式</v>
      </c>
      <c r="I65" s="337"/>
      <c r="J65" s="2566">
        <v>128581000</v>
      </c>
      <c r="K65" s="2566">
        <f t="shared" si="10"/>
        <v>128581000</v>
      </c>
      <c r="L65" s="2573">
        <v>0</v>
      </c>
      <c r="M65" s="342" t="s">
        <v>259</v>
      </c>
      <c r="N65" s="342"/>
      <c r="O65" s="343"/>
    </row>
    <row r="66" spans="1:17" customFormat="1" ht="25" customHeight="1">
      <c r="A66" s="332"/>
      <c r="B66" s="332"/>
      <c r="C66" s="333"/>
      <c r="D66" s="2564" t="s">
        <v>2984</v>
      </c>
      <c r="E66" s="324"/>
      <c r="F66" s="334"/>
      <c r="G66" s="335"/>
      <c r="H66" s="336"/>
      <c r="I66" s="337"/>
      <c r="J66" s="2566">
        <f>SUM(J63:J65)</f>
        <v>196059000</v>
      </c>
      <c r="K66" s="2566">
        <f t="shared" ref="K66" si="11">SUM(K61:K65)</f>
        <v>198713000</v>
      </c>
      <c r="L66" s="2566">
        <f>SUM(L63:L65)</f>
        <v>2654000</v>
      </c>
      <c r="M66" s="342"/>
      <c r="N66" s="342"/>
      <c r="O66" s="343"/>
    </row>
    <row r="67" spans="1:17" customFormat="1" ht="25" customHeight="1">
      <c r="A67" s="332"/>
      <c r="B67" s="332"/>
      <c r="C67" s="333"/>
      <c r="D67" s="2564" t="s">
        <v>13</v>
      </c>
      <c r="E67" s="324"/>
      <c r="F67" s="334">
        <f t="shared" ref="F67" si="12">IF(L67="","",IF(L67&lt;0,"",1))</f>
        <v>1</v>
      </c>
      <c r="G67" s="335" t="str">
        <f t="shared" ref="G67" si="13">IF(L67="","",IF(L67&lt;0,1,""))</f>
        <v/>
      </c>
      <c r="H67" s="336" t="str">
        <f t="shared" ref="H67" si="14">IF(L67="","","式")</f>
        <v>式</v>
      </c>
      <c r="I67" s="337"/>
      <c r="J67" s="2566">
        <f>+J66*0.1</f>
        <v>19605900</v>
      </c>
      <c r="K67" s="2566">
        <f>+J67+L67</f>
        <v>19871300</v>
      </c>
      <c r="L67" s="2566">
        <f>+L66*0.1</f>
        <v>265400</v>
      </c>
      <c r="M67" s="342"/>
      <c r="N67" s="342"/>
      <c r="O67" s="343"/>
    </row>
    <row r="68" spans="1:17" customFormat="1" ht="25" customHeight="1">
      <c r="A68" s="332"/>
      <c r="B68" s="332"/>
      <c r="C68" s="333"/>
      <c r="D68" s="2564" t="s">
        <v>2977</v>
      </c>
      <c r="E68" s="324"/>
      <c r="F68" s="334"/>
      <c r="G68" s="335"/>
      <c r="H68" s="336"/>
      <c r="I68" s="337"/>
      <c r="J68" s="2566">
        <f>+J66+J67</f>
        <v>215664900</v>
      </c>
      <c r="K68" s="2566">
        <f>+K67+K66</f>
        <v>218584300</v>
      </c>
      <c r="L68" s="2566">
        <f>+L66+L67</f>
        <v>2919400</v>
      </c>
      <c r="M68" s="342"/>
      <c r="N68" s="342"/>
      <c r="O68" s="343"/>
    </row>
    <row r="69" spans="1:17" customFormat="1" ht="25" customHeight="1">
      <c r="A69" s="332"/>
      <c r="B69" s="332"/>
      <c r="C69" s="333"/>
      <c r="D69" s="2564"/>
      <c r="E69" s="324"/>
      <c r="F69" s="342"/>
      <c r="G69" s="337"/>
      <c r="H69" s="336"/>
      <c r="I69" s="337"/>
      <c r="J69" s="2566"/>
      <c r="K69" s="2567"/>
      <c r="L69" s="2566"/>
      <c r="M69" s="342"/>
      <c r="N69" s="342"/>
      <c r="O69" s="343"/>
    </row>
    <row r="70" spans="1:17" customFormat="1" ht="25" customHeight="1" thickBot="1">
      <c r="A70" s="332"/>
      <c r="B70" s="332"/>
      <c r="C70" s="344"/>
      <c r="D70" s="2565" t="s">
        <v>2985</v>
      </c>
      <c r="E70" s="346"/>
      <c r="F70" s="347"/>
      <c r="G70" s="348"/>
      <c r="H70" s="349"/>
      <c r="I70" s="348"/>
      <c r="J70" s="2568">
        <f>+J60+J68</f>
        <v>394900000</v>
      </c>
      <c r="K70" s="2568">
        <f>+K60+K68</f>
        <v>401819000</v>
      </c>
      <c r="L70" s="2568">
        <f>+L60+L68</f>
        <v>6919000</v>
      </c>
      <c r="M70" s="347"/>
      <c r="N70" s="347"/>
      <c r="O70" s="350"/>
    </row>
    <row r="71" spans="1:17" ht="14.25" customHeight="1">
      <c r="E71" s="34" t="s">
        <v>260</v>
      </c>
      <c r="F71" s="95">
        <f>F48+1</f>
        <v>2</v>
      </c>
      <c r="G71" s="35"/>
      <c r="H71" s="351">
        <f>+H25</f>
        <v>11</v>
      </c>
      <c r="I71" s="1" t="s">
        <v>49</v>
      </c>
      <c r="J71" s="352">
        <f>+H71</f>
        <v>11</v>
      </c>
      <c r="M71" s="353" t="str">
        <f>P71</f>
        <v>EOL</v>
      </c>
      <c r="N71" s="353">
        <f>Q71</f>
        <v>2</v>
      </c>
      <c r="P71" s="40" t="str">
        <f>IF(A73="","EOL","")</f>
        <v>EOL</v>
      </c>
      <c r="Q71" s="1">
        <f>+F71</f>
        <v>2</v>
      </c>
    </row>
  </sheetData>
  <mergeCells count="44">
    <mergeCell ref="M27:O28"/>
    <mergeCell ref="A50:A51"/>
    <mergeCell ref="B50:B51"/>
    <mergeCell ref="C50:D51"/>
    <mergeCell ref="E50:E51"/>
    <mergeCell ref="L20:L22"/>
    <mergeCell ref="A27:A28"/>
    <mergeCell ref="B27:B28"/>
    <mergeCell ref="C27:D28"/>
    <mergeCell ref="E27:E28"/>
    <mergeCell ref="F27:G27"/>
    <mergeCell ref="H27:H28"/>
    <mergeCell ref="I27:I28"/>
    <mergeCell ref="J27:K27"/>
    <mergeCell ref="L5:M5"/>
    <mergeCell ref="C2:D2"/>
    <mergeCell ref="C3:D3"/>
    <mergeCell ref="D11:N11"/>
    <mergeCell ref="C13:O13"/>
    <mergeCell ref="L3:M3"/>
    <mergeCell ref="L4:M4"/>
    <mergeCell ref="N7:O7"/>
    <mergeCell ref="N2:O2"/>
    <mergeCell ref="L8:M9"/>
    <mergeCell ref="N8:O9"/>
    <mergeCell ref="L6:M6"/>
    <mergeCell ref="N6:O6"/>
    <mergeCell ref="N5:O5"/>
    <mergeCell ref="M19:N19"/>
    <mergeCell ref="L1:O1"/>
    <mergeCell ref="M50:O51"/>
    <mergeCell ref="F50:G50"/>
    <mergeCell ref="H50:H51"/>
    <mergeCell ref="I50:I51"/>
    <mergeCell ref="J50:K50"/>
    <mergeCell ref="M20:N22"/>
    <mergeCell ref="O20:O22"/>
    <mergeCell ref="L17:O17"/>
    <mergeCell ref="L18:N18"/>
    <mergeCell ref="O18:O19"/>
    <mergeCell ref="L2:M2"/>
    <mergeCell ref="L7:M7"/>
    <mergeCell ref="N3:O3"/>
    <mergeCell ref="N4:O4"/>
  </mergeCells>
  <phoneticPr fontId="2"/>
  <printOptions horizontalCentered="1" verticalCentered="1"/>
  <pageMargins left="0.98425196850393704" right="0.39370078740157499" top="0.78740157480314998" bottom="0.78740157480314998" header="0.511811023622047" footer="0.511811023622047"/>
  <pageSetup paperSize="9" scale="35" orientation="portrait" horizontalDpi="300" verticalDpi="300" r:id="rId1"/>
  <headerFooter alignWithMargins="0"/>
  <rowBreaks count="1" manualBreakCount="1">
    <brk id="48" max="16383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pageSetUpPr fitToPage="1"/>
  </sheetPr>
  <dimension ref="A1:Z25"/>
  <sheetViews>
    <sheetView zoomScaleNormal="100" zoomScaleSheetLayoutView="85" workbookViewId="0">
      <selection activeCell="A7" sqref="A7:D8"/>
    </sheetView>
  </sheetViews>
  <sheetFormatPr baseColWidth="10" defaultColWidth="6.6640625" defaultRowHeight="26" customHeight="1"/>
  <cols>
    <col min="1" max="1" width="2.6640625" style="6" customWidth="1"/>
    <col min="2" max="2" width="3.5" style="6" customWidth="1"/>
    <col min="3" max="3" width="24.6640625" style="1" customWidth="1"/>
    <col min="4" max="4" width="20.6640625" style="1" customWidth="1"/>
    <col min="5" max="5" width="15.6640625" style="2" customWidth="1"/>
    <col min="6" max="6" width="9.1640625" style="1" customWidth="1"/>
    <col min="7" max="7" width="11.6640625" style="3" customWidth="1"/>
    <col min="8" max="9" width="11.6640625" style="4" customWidth="1"/>
    <col min="10" max="10" width="9.6640625" style="1" customWidth="1"/>
    <col min="11" max="12" width="13.1640625" style="1" customWidth="1"/>
    <col min="13" max="14" width="6.6640625" style="1" customWidth="1"/>
    <col min="15" max="16" width="4.83203125" style="1" customWidth="1"/>
    <col min="17" max="23" width="15.6640625" style="1" customWidth="1"/>
    <col min="24" max="25" width="6.6640625" style="1"/>
    <col min="26" max="26" width="6.6640625" style="499"/>
    <col min="27" max="16384" width="6.6640625" style="1"/>
  </cols>
  <sheetData>
    <row r="1" spans="1:26" ht="20" customHeight="1">
      <c r="B1" s="1"/>
      <c r="E1" s="15"/>
      <c r="F1" s="50">
        <v>0</v>
      </c>
      <c r="H1" s="17"/>
      <c r="I1" s="1"/>
      <c r="J1" s="19"/>
      <c r="K1" s="497"/>
      <c r="L1" s="498" t="s">
        <v>335</v>
      </c>
      <c r="Z1" s="499" t="s">
        <v>336</v>
      </c>
    </row>
    <row r="2" spans="1:26" ht="20" customHeight="1">
      <c r="C2" s="37" t="s">
        <v>79</v>
      </c>
      <c r="E2" s="36" t="s">
        <v>50</v>
      </c>
      <c r="F2" s="500">
        <f>VLOOKUP("EOL",表紙!$M$25:$N$65549,2,FALSE)</f>
        <v>2</v>
      </c>
      <c r="G2" s="1" t="s">
        <v>192</v>
      </c>
      <c r="H2" s="4">
        <f>表紙!H25</f>
        <v>11</v>
      </c>
      <c r="I2" s="4" t="s">
        <v>56</v>
      </c>
      <c r="J2" s="39">
        <f>VLOOKUP("EOL",$M$4:$N$65766,2,FALSE)</f>
        <v>3</v>
      </c>
      <c r="K2" s="501"/>
      <c r="L2" s="502">
        <v>1</v>
      </c>
      <c r="Z2" s="499" t="s">
        <v>337</v>
      </c>
    </row>
    <row r="3" spans="1:26" ht="26" customHeight="1" thickBot="1">
      <c r="A3" s="2716" t="s">
        <v>338</v>
      </c>
      <c r="B3" s="2716"/>
      <c r="C3" s="2716"/>
      <c r="D3" s="2716"/>
      <c r="E3" s="2716"/>
      <c r="F3" s="2716"/>
      <c r="G3" s="2716"/>
      <c r="H3" s="2716"/>
      <c r="I3" s="2716"/>
      <c r="J3" s="2716"/>
      <c r="K3" s="2716"/>
      <c r="L3" s="2716"/>
    </row>
    <row r="4" spans="1:26" s="506" customFormat="1" ht="26" customHeight="1" thickBot="1">
      <c r="A4" s="2716"/>
      <c r="B4" s="2716"/>
      <c r="C4" s="2716"/>
      <c r="D4" s="2716"/>
      <c r="E4" s="2716"/>
      <c r="F4" s="2717"/>
      <c r="G4" s="503" t="s">
        <v>339</v>
      </c>
      <c r="H4" s="504"/>
      <c r="I4" s="505" t="s">
        <v>340</v>
      </c>
      <c r="J4" s="504"/>
      <c r="K4" s="756" t="s">
        <v>2391</v>
      </c>
      <c r="L4" s="504"/>
      <c r="Z4" s="507"/>
    </row>
    <row r="5" spans="1:26" ht="42" customHeight="1">
      <c r="A5" s="2718" t="s">
        <v>341</v>
      </c>
      <c r="B5" s="2719"/>
      <c r="C5" s="508" t="s">
        <v>342</v>
      </c>
      <c r="D5" s="509" t="s">
        <v>343</v>
      </c>
      <c r="E5" s="509" t="s">
        <v>344</v>
      </c>
      <c r="F5" s="510" t="s">
        <v>345</v>
      </c>
      <c r="G5" s="510" t="s">
        <v>2392</v>
      </c>
      <c r="H5" s="511" t="s">
        <v>2393</v>
      </c>
      <c r="I5" s="761" t="s">
        <v>280</v>
      </c>
      <c r="J5" s="2720" t="s">
        <v>2460</v>
      </c>
      <c r="K5" s="2721"/>
      <c r="L5" s="2722"/>
      <c r="M5" s="512"/>
      <c r="N5" s="222"/>
      <c r="O5" s="222"/>
      <c r="P5" s="222"/>
      <c r="Q5" s="3"/>
    </row>
    <row r="6" spans="1:26" ht="24" customHeight="1">
      <c r="A6" s="2708"/>
      <c r="B6" s="2709"/>
      <c r="C6" s="130"/>
      <c r="D6" s="130"/>
      <c r="E6" s="513"/>
      <c r="F6" s="514"/>
      <c r="G6" s="757"/>
      <c r="H6" s="757"/>
      <c r="I6" s="806" t="str">
        <f>IFERROR(INDEX(資産クラス!$A$90:$K$328,MATCH(資産管理明細書!J6,資産クラス!$C$90:$C$328,0),MATCH(資産管理明細書!A6,資産クラス!$A$95:$K$95,0)),"")</f>
        <v/>
      </c>
      <c r="J6" s="762"/>
      <c r="K6" s="2710" t="str">
        <f>IFERROR(VLOOKUP(J6,資産クラス一覧表!A$2:D$1687,2,FALSE),"")</f>
        <v/>
      </c>
      <c r="L6" s="2711"/>
      <c r="P6" s="515" t="s">
        <v>346</v>
      </c>
      <c r="Q6" s="516" t="s">
        <v>347</v>
      </c>
    </row>
    <row r="7" spans="1:26" ht="24" customHeight="1">
      <c r="A7" s="2708"/>
      <c r="B7" s="2709"/>
      <c r="C7" s="130"/>
      <c r="D7" s="130"/>
      <c r="E7" s="513"/>
      <c r="F7" s="514"/>
      <c r="G7" s="757"/>
      <c r="H7" s="757"/>
      <c r="I7" s="806" t="str">
        <f>IFERROR(INDEX(資産クラス!$A$90:$K$328,MATCH(資産管理明細書!J7,資産クラス!$C$90:$C$328,0),MATCH(資産管理明細書!A7,資産クラス!$A$95:$K$95,0)),"")</f>
        <v/>
      </c>
      <c r="J7" s="762"/>
      <c r="K7" s="2710" t="str">
        <f>IFERROR(VLOOKUP(J7,資産クラス一覧表!A$2:D$1687,2,FALSE),"")</f>
        <v/>
      </c>
      <c r="L7" s="2711"/>
      <c r="P7" s="515" t="s">
        <v>348</v>
      </c>
      <c r="Q7" s="516" t="s">
        <v>349</v>
      </c>
    </row>
    <row r="8" spans="1:26" ht="24" customHeight="1">
      <c r="A8" s="2708"/>
      <c r="B8" s="2709"/>
      <c r="C8" s="130"/>
      <c r="D8" s="130"/>
      <c r="E8" s="513"/>
      <c r="F8" s="514"/>
      <c r="G8" s="757"/>
      <c r="H8" s="757"/>
      <c r="I8" s="806" t="str">
        <f ca="1">IFERROR(INDEX(資産クラス!$A$90:$K$328,MATCH(資産管理明細書!J8,資産クラス!$C$90:$C$328,0),MATCH(資産管理明細書!A8,資産クラス!$A$95:$K$95,0)),"")</f>
        <v/>
      </c>
      <c r="J8" s="762">
        <v>10500701</v>
      </c>
      <c r="K8" s="2710" t="str">
        <f>IFERROR(VLOOKUP(J8,資産クラス一覧表!A$2:D$1687,2,FALSE),"")</f>
        <v>鉄有固-運送施設 建物-鉄骨鉄筋コンクリート造又は鉄筋コンクリート造-停車場建物</v>
      </c>
      <c r="L8" s="2711"/>
      <c r="N8" s="513"/>
      <c r="P8" s="515" t="s">
        <v>350</v>
      </c>
      <c r="Q8" s="516" t="s">
        <v>351</v>
      </c>
    </row>
    <row r="9" spans="1:26" ht="24" customHeight="1">
      <c r="A9" s="2708"/>
      <c r="B9" s="2709"/>
      <c r="C9" s="130"/>
      <c r="D9" s="130"/>
      <c r="E9" s="513"/>
      <c r="F9" s="514"/>
      <c r="G9" s="757"/>
      <c r="H9" s="757"/>
      <c r="I9" s="806" t="str">
        <f>IFERROR(INDEX(資産クラス!$A$90:$K$328,MATCH(資産管理明細書!J9,資産クラス!$C$90:$C$328,0),MATCH(資産管理明細書!A9,資産クラス!$A$95:$K$95,0)),"")</f>
        <v/>
      </c>
      <c r="J9" s="762"/>
      <c r="K9" s="2710" t="str">
        <f>IFERROR(VLOOKUP(J9,資産クラス一覧表!A$2:D$1687,2,FALSE),"")</f>
        <v/>
      </c>
      <c r="L9" s="2711"/>
      <c r="P9" s="515" t="s">
        <v>352</v>
      </c>
      <c r="Q9" s="516" t="s">
        <v>353</v>
      </c>
    </row>
    <row r="10" spans="1:26" ht="24" customHeight="1">
      <c r="A10" s="2708"/>
      <c r="B10" s="2709"/>
      <c r="C10" s="130"/>
      <c r="D10" s="130"/>
      <c r="E10" s="513"/>
      <c r="F10" s="514"/>
      <c r="G10" s="757"/>
      <c r="H10" s="757"/>
      <c r="I10" s="806" t="str">
        <f>IFERROR(INDEX(資産クラス!$A$90:$K$328,MATCH(資産管理明細書!J10,資産クラス!$C$90:$C$328,0),MATCH(資産管理明細書!A10,資産クラス!$A$95:$K$95,0)),"")</f>
        <v/>
      </c>
      <c r="J10" s="762"/>
      <c r="K10" s="2710" t="str">
        <f>IFERROR(VLOOKUP(J10,資産クラス一覧表!A$2:D$1687,2,FALSE),"")</f>
        <v/>
      </c>
      <c r="L10" s="2711"/>
      <c r="P10" s="515" t="s">
        <v>354</v>
      </c>
      <c r="Q10" s="516" t="s">
        <v>355</v>
      </c>
    </row>
    <row r="11" spans="1:26" ht="24" customHeight="1">
      <c r="A11" s="2708"/>
      <c r="B11" s="2709"/>
      <c r="C11" s="130"/>
      <c r="D11" s="130"/>
      <c r="E11" s="513"/>
      <c r="F11" s="514"/>
      <c r="G11" s="757"/>
      <c r="H11" s="757"/>
      <c r="I11" s="806" t="str">
        <f>IFERROR(INDEX(資産クラス!$A$90:$K$328,MATCH(資産管理明細書!J11,資産クラス!$C$90:$C$328,0),MATCH(資産管理明細書!A11,資産クラス!$A$95:$K$95,0)),"")</f>
        <v/>
      </c>
      <c r="J11" s="762"/>
      <c r="K11" s="2710" t="str">
        <f>IFERROR(VLOOKUP(J11,資産クラス一覧表!A$2:D$1687,2,FALSE),"")</f>
        <v/>
      </c>
      <c r="L11" s="2711"/>
      <c r="P11" s="515" t="s">
        <v>356</v>
      </c>
      <c r="Q11" s="516" t="s">
        <v>357</v>
      </c>
    </row>
    <row r="12" spans="1:26" ht="24" customHeight="1">
      <c r="A12" s="2708"/>
      <c r="B12" s="2709"/>
      <c r="C12" s="130"/>
      <c r="D12" s="130"/>
      <c r="E12" s="513"/>
      <c r="F12" s="514"/>
      <c r="G12" s="757"/>
      <c r="H12" s="757"/>
      <c r="I12" s="806" t="str">
        <f>IFERROR(INDEX(資産クラス!$A$90:$K$328,MATCH(資産管理明細書!J12,資産クラス!$C$90:$C$328,0),MATCH(資産管理明細書!A12,資産クラス!$A$95:$K$95,0)),"")</f>
        <v/>
      </c>
      <c r="J12" s="762"/>
      <c r="K12" s="2710" t="str">
        <f>IFERROR(VLOOKUP(J12,資産クラス一覧表!A$2:D$1687,2,FALSE),"")</f>
        <v/>
      </c>
      <c r="L12" s="2711"/>
      <c r="P12" s="515" t="s">
        <v>358</v>
      </c>
      <c r="Q12" s="516" t="s">
        <v>359</v>
      </c>
    </row>
    <row r="13" spans="1:26" ht="24" customHeight="1">
      <c r="A13" s="2708"/>
      <c r="B13" s="2709"/>
      <c r="C13" s="130"/>
      <c r="D13" s="130"/>
      <c r="E13" s="513"/>
      <c r="F13" s="514"/>
      <c r="G13" s="757"/>
      <c r="H13" s="757"/>
      <c r="I13" s="806" t="str">
        <f>IFERROR(INDEX(資産クラス!$A$90:$K$328,MATCH(資産管理明細書!J13,資産クラス!$C$90:$C$328,0),MATCH(資産管理明細書!A13,資産クラス!$A$95:$K$95,0)),"")</f>
        <v/>
      </c>
      <c r="J13" s="762"/>
      <c r="K13" s="2710" t="str">
        <f>IFERROR(VLOOKUP(J13,資産クラス一覧表!A$2:D$1687,2,FALSE),"")</f>
        <v/>
      </c>
      <c r="L13" s="2711"/>
      <c r="P13" s="515" t="s">
        <v>360</v>
      </c>
      <c r="Q13" s="516" t="s">
        <v>361</v>
      </c>
    </row>
    <row r="14" spans="1:26" ht="24" customHeight="1">
      <c r="A14" s="2708"/>
      <c r="B14" s="2709"/>
      <c r="C14" s="130"/>
      <c r="D14" s="130"/>
      <c r="E14" s="513"/>
      <c r="F14" s="514"/>
      <c r="G14" s="757"/>
      <c r="H14" s="757"/>
      <c r="I14" s="806" t="str">
        <f>IFERROR(INDEX(資産クラス!$A$90:$K$328,MATCH(資産管理明細書!J14,資産クラス!$C$90:$C$328,0),MATCH(資産管理明細書!A14,資産クラス!$A$95:$K$95,0)),"")</f>
        <v/>
      </c>
      <c r="J14" s="762"/>
      <c r="K14" s="2710" t="str">
        <f>IFERROR(VLOOKUP(J14,資産クラス一覧表!A$2:D$1687,2,FALSE),"")</f>
        <v/>
      </c>
      <c r="L14" s="2711"/>
      <c r="P14" s="515" t="s">
        <v>362</v>
      </c>
      <c r="Q14" s="516" t="s">
        <v>363</v>
      </c>
    </row>
    <row r="15" spans="1:26" ht="24" customHeight="1">
      <c r="A15" s="2708"/>
      <c r="B15" s="2709"/>
      <c r="C15" s="130"/>
      <c r="D15" s="130"/>
      <c r="E15" s="513"/>
      <c r="F15" s="514"/>
      <c r="G15" s="757"/>
      <c r="H15" s="757"/>
      <c r="I15" s="806" t="str">
        <f>IFERROR(INDEX(資産クラス!$A$90:$K$328,MATCH(資産管理明細書!J15,資産クラス!$C$90:$C$328,0),MATCH(資産管理明細書!A15,資産クラス!$A$95:$K$95,0)),"")</f>
        <v/>
      </c>
      <c r="J15" s="762"/>
      <c r="K15" s="2710" t="str">
        <f>IFERROR(VLOOKUP(J15,資産クラス一覧表!A$2:D$1687,2,FALSE),"")</f>
        <v/>
      </c>
      <c r="L15" s="2711"/>
      <c r="P15" s="515" t="s">
        <v>364</v>
      </c>
      <c r="Q15" s="516" t="s">
        <v>365</v>
      </c>
    </row>
    <row r="16" spans="1:26" ht="24" customHeight="1">
      <c r="A16" s="2708"/>
      <c r="B16" s="2709"/>
      <c r="C16" s="130"/>
      <c r="D16" s="130"/>
      <c r="E16" s="513"/>
      <c r="F16" s="514"/>
      <c r="G16" s="757"/>
      <c r="H16" s="757"/>
      <c r="I16" s="806" t="str">
        <f>IFERROR(INDEX(資産クラス!$A$90:$K$328,MATCH(資産管理明細書!J16,資産クラス!$C$90:$C$328,0),MATCH(資産管理明細書!A16,資産クラス!$A$95:$K$95,0)),"")</f>
        <v/>
      </c>
      <c r="J16" s="762"/>
      <c r="K16" s="2710" t="str">
        <f>IFERROR(VLOOKUP(J16,資産クラス一覧表!A$2:D$1687,2,FALSE),"")</f>
        <v/>
      </c>
      <c r="L16" s="2711"/>
      <c r="P16" s="515" t="s">
        <v>366</v>
      </c>
      <c r="Q16" s="516" t="s">
        <v>367</v>
      </c>
    </row>
    <row r="17" spans="1:17" ht="24" customHeight="1">
      <c r="A17" s="2708"/>
      <c r="B17" s="2709"/>
      <c r="C17" s="130"/>
      <c r="D17" s="130"/>
      <c r="E17" s="513"/>
      <c r="F17" s="514"/>
      <c r="G17" s="757"/>
      <c r="H17" s="757"/>
      <c r="I17" s="806" t="str">
        <f>IFERROR(INDEX(資産クラス!$A$90:$K$328,MATCH(資産管理明細書!J17,資産クラス!$C$90:$C$328,0),MATCH(資産管理明細書!A17,資産クラス!$A$95:$K$95,0)),"")</f>
        <v/>
      </c>
      <c r="J17" s="762"/>
      <c r="K17" s="2710" t="str">
        <f>IFERROR(VLOOKUP(J17,資産クラス一覧表!A$2:D$1687,2,FALSE),"")</f>
        <v/>
      </c>
      <c r="L17" s="2711"/>
      <c r="P17" s="515" t="s">
        <v>368</v>
      </c>
      <c r="Q17" s="516" t="s">
        <v>369</v>
      </c>
    </row>
    <row r="18" spans="1:17" ht="24" customHeight="1">
      <c r="A18" s="2708"/>
      <c r="B18" s="2709"/>
      <c r="C18" s="130"/>
      <c r="D18" s="130"/>
      <c r="E18" s="513"/>
      <c r="F18" s="514"/>
      <c r="G18" s="757"/>
      <c r="H18" s="757"/>
      <c r="I18" s="806" t="str">
        <f>IFERROR(INDEX(資産クラス!$A$90:$K$328,MATCH(資産管理明細書!J18,資産クラス!$C$90:$C$328,0),MATCH(資産管理明細書!A18,資産クラス!$A$95:$K$95,0)),"")</f>
        <v/>
      </c>
      <c r="J18" s="762"/>
      <c r="K18" s="2710" t="str">
        <f>IFERROR(VLOOKUP(J18,資産クラス一覧表!A$2:D$1687,2,FALSE),"")</f>
        <v/>
      </c>
      <c r="L18" s="2711"/>
      <c r="P18" s="515" t="s">
        <v>370</v>
      </c>
      <c r="Q18" s="516" t="s">
        <v>371</v>
      </c>
    </row>
    <row r="19" spans="1:17" ht="24" customHeight="1">
      <c r="A19" s="2708"/>
      <c r="B19" s="2709"/>
      <c r="C19" s="130"/>
      <c r="D19" s="130"/>
      <c r="E19" s="513"/>
      <c r="F19" s="514"/>
      <c r="G19" s="757"/>
      <c r="H19" s="757"/>
      <c r="I19" s="806" t="str">
        <f>IFERROR(INDEX(資産クラス!$A$90:$K$328,MATCH(資産管理明細書!J19,資産クラス!$C$90:$C$328,0),MATCH(資産管理明細書!A19,資産クラス!$A$95:$K$95,0)),"")</f>
        <v/>
      </c>
      <c r="J19" s="762"/>
      <c r="K19" s="2710" t="str">
        <f>IFERROR(VLOOKUP(J19,資産クラス一覧表!A$2:D$1687,2,FALSE),"")</f>
        <v/>
      </c>
      <c r="L19" s="2711"/>
      <c r="P19" s="515" t="s">
        <v>372</v>
      </c>
      <c r="Q19" s="516" t="s">
        <v>373</v>
      </c>
    </row>
    <row r="20" spans="1:17" ht="24" customHeight="1">
      <c r="A20" s="2708"/>
      <c r="B20" s="2709"/>
      <c r="C20" s="130"/>
      <c r="D20" s="130"/>
      <c r="E20" s="513"/>
      <c r="F20" s="514"/>
      <c r="G20" s="757"/>
      <c r="H20" s="757"/>
      <c r="I20" s="806" t="str">
        <f>IFERROR(INDEX(資産クラス!$A$90:$K$328,MATCH(資産管理明細書!J20,資産クラス!$C$90:$C$328,0),MATCH(資産管理明細書!A20,資産クラス!$A$95:$K$95,0)),"")</f>
        <v/>
      </c>
      <c r="J20" s="762"/>
      <c r="K20" s="2710" t="str">
        <f>IFERROR(VLOOKUP(J20,資産クラス一覧表!A$2:D$1687,2,FALSE),"")</f>
        <v/>
      </c>
      <c r="L20" s="2711"/>
      <c r="P20" s="515" t="s">
        <v>374</v>
      </c>
      <c r="Q20" s="516" t="s">
        <v>375</v>
      </c>
    </row>
    <row r="21" spans="1:17" ht="24" customHeight="1">
      <c r="A21" s="2708"/>
      <c r="B21" s="2709"/>
      <c r="C21" s="130"/>
      <c r="D21" s="130"/>
      <c r="E21" s="513"/>
      <c r="F21" s="514"/>
      <c r="G21" s="757"/>
      <c r="H21" s="757"/>
      <c r="I21" s="806" t="str">
        <f>IFERROR(INDEX(資産クラス!$A$90:$K$328,MATCH(資産管理明細書!J21,資産クラス!$C$90:$C$328,0),MATCH(資産管理明細書!A21,資産クラス!$A$95:$K$95,0)),"")</f>
        <v/>
      </c>
      <c r="J21" s="762"/>
      <c r="K21" s="2710" t="str">
        <f>IFERROR(VLOOKUP(J21,資産クラス一覧表!A$2:D$1687,2,FALSE),"")</f>
        <v/>
      </c>
      <c r="L21" s="2711"/>
      <c r="P21" s="515" t="s">
        <v>376</v>
      </c>
      <c r="Q21" s="516" t="s">
        <v>377</v>
      </c>
    </row>
    <row r="22" spans="1:17" ht="24" customHeight="1">
      <c r="A22" s="2708"/>
      <c r="B22" s="2709"/>
      <c r="C22" s="130"/>
      <c r="D22" s="130"/>
      <c r="E22" s="513"/>
      <c r="F22" s="514"/>
      <c r="G22" s="757"/>
      <c r="H22" s="757"/>
      <c r="I22" s="806" t="str">
        <f>IFERROR(INDEX(資産クラス!$A$90:$K$328,MATCH(資産管理明細書!J22,資産クラス!$C$90:$C$328,0),MATCH(資産管理明細書!A22,資産クラス!$A$95:$K$95,0)),"")</f>
        <v/>
      </c>
      <c r="J22" s="762"/>
      <c r="K22" s="2710" t="str">
        <f>IFERROR(VLOOKUP(J22,資産クラス一覧表!A$2:D$1687,2,FALSE),"")</f>
        <v/>
      </c>
      <c r="L22" s="2711"/>
    </row>
    <row r="23" spans="1:17" ht="24" customHeight="1">
      <c r="A23" s="2708"/>
      <c r="B23" s="2709"/>
      <c r="C23" s="130"/>
      <c r="D23" s="114"/>
      <c r="E23" s="513"/>
      <c r="F23" s="514"/>
      <c r="G23" s="757"/>
      <c r="H23" s="757"/>
      <c r="I23" s="806" t="str">
        <f>IFERROR(INDEX(資産クラス!$A$90:$K$328,MATCH(資産管理明細書!J23,資産クラス!$C$90:$C$328,0),MATCH(資産管理明細書!A23,資産クラス!$A$95:$K$95,0)),"")</f>
        <v/>
      </c>
      <c r="J23" s="762"/>
      <c r="K23" s="2710" t="str">
        <f>IFERROR(VLOOKUP(J23,資産クラス一覧表!A$2:D$1687,2,FALSE),"")</f>
        <v/>
      </c>
      <c r="L23" s="2711"/>
    </row>
    <row r="24" spans="1:17" ht="24" customHeight="1" thickBot="1">
      <c r="A24" s="2712"/>
      <c r="B24" s="2713"/>
      <c r="C24" s="517"/>
      <c r="D24" s="117"/>
      <c r="E24" s="518"/>
      <c r="F24" s="519"/>
      <c r="G24" s="759"/>
      <c r="H24" s="758"/>
      <c r="I24" s="807" t="str">
        <f>IFERROR(INDEX(資産クラス!$A$90:$K$328,MATCH(資産管理明細書!J24,資産クラス!$C$90:$C$328,0),MATCH(資産管理明細書!A24,資産クラス!$A$95:$K$95,0)),"")</f>
        <v/>
      </c>
      <c r="J24" s="763"/>
      <c r="K24" s="2714" t="str">
        <f>IFERROR(VLOOKUP(J24,資産クラス一覧表!A$2:D$1687,2,FALSE),"")</f>
        <v/>
      </c>
      <c r="L24" s="2715"/>
    </row>
    <row r="25" spans="1:17" ht="14.25" customHeight="1">
      <c r="E25" s="34" t="s">
        <v>86</v>
      </c>
      <c r="F25" s="95">
        <f>F2+1</f>
        <v>3</v>
      </c>
      <c r="G25" s="35" t="s">
        <v>87</v>
      </c>
      <c r="H25" s="4">
        <f>H2</f>
        <v>11</v>
      </c>
      <c r="M25" s="33" t="str">
        <f>IF(A27="","EOL","")</f>
        <v>EOL</v>
      </c>
      <c r="N25" s="1">
        <f>+F25</f>
        <v>3</v>
      </c>
    </row>
  </sheetData>
  <sheetProtection formatCells="0" formatColumns="0" formatRows="0" insertColumns="0" insertRows="0" insertHyperlinks="0" deleteColumns="0" deleteRows="0" sort="0" autoFilter="0" pivotTables="0"/>
  <mergeCells count="42">
    <mergeCell ref="A4:F4"/>
    <mergeCell ref="A3:L3"/>
    <mergeCell ref="A7:B7"/>
    <mergeCell ref="A11:B11"/>
    <mergeCell ref="K7:L7"/>
    <mergeCell ref="A5:B5"/>
    <mergeCell ref="J5:L5"/>
    <mergeCell ref="A6:B6"/>
    <mergeCell ref="K6:L6"/>
    <mergeCell ref="A12:B12"/>
    <mergeCell ref="A8:B8"/>
    <mergeCell ref="A9:B9"/>
    <mergeCell ref="A10:B10"/>
    <mergeCell ref="K8:L8"/>
    <mergeCell ref="K9:L9"/>
    <mergeCell ref="K10:L10"/>
    <mergeCell ref="K11:L11"/>
    <mergeCell ref="K12:L12"/>
    <mergeCell ref="A16:B16"/>
    <mergeCell ref="A17:B17"/>
    <mergeCell ref="A18:B18"/>
    <mergeCell ref="K16:L16"/>
    <mergeCell ref="K17:L17"/>
    <mergeCell ref="K18:L18"/>
    <mergeCell ref="A13:B13"/>
    <mergeCell ref="A14:B14"/>
    <mergeCell ref="A15:B15"/>
    <mergeCell ref="K13:L13"/>
    <mergeCell ref="K14:L14"/>
    <mergeCell ref="K15:L15"/>
    <mergeCell ref="A22:B22"/>
    <mergeCell ref="A23:B23"/>
    <mergeCell ref="A24:B24"/>
    <mergeCell ref="K22:L22"/>
    <mergeCell ref="K23:L23"/>
    <mergeCell ref="K24:L24"/>
    <mergeCell ref="A19:B19"/>
    <mergeCell ref="A20:B20"/>
    <mergeCell ref="A21:B21"/>
    <mergeCell ref="K19:L19"/>
    <mergeCell ref="K20:L20"/>
    <mergeCell ref="K21:L21"/>
  </mergeCells>
  <phoneticPr fontId="2"/>
  <dataValidations count="4">
    <dataValidation type="list" allowBlank="1" showInputMessage="1" showErrorMessage="1" sqref="N8 E6:E24" xr:uid="{00000000-0002-0000-0400-000000000000}">
      <formula1>"１　資産【自己調達資金】,２　費用（撤去費）【自己調達資金】,３　費用（修繕費）【自己調達資金】,４　費用（保守費）【自己調達資金】,６　資産【その他調達資金】,７　費用（撤去費）　【その他調達資金】,８　費用（修繕費）【その他調達資金】,９　費用（保守費）【その他調達資金】,Ａ　他流動資産（受託工事）,Ｂ　資産【補助対象】,Ｃ　費用（撤去費）【補助金対象】,Ｄ　費用（修繕費）【補助金対象】,Ｅ　費用（保守費）【補助金対象】,Ｗ　費用（原価企画）【自己調達資金】,Ｘ　費用【その他調達資金】"</formula1>
    </dataValidation>
    <dataValidation type="list" allowBlank="1" showInputMessage="1" sqref="K1" xr:uid="{00000000-0002-0000-0400-000001000000}">
      <formula1>"有り,無し"</formula1>
    </dataValidation>
    <dataValidation type="list" allowBlank="1" showInputMessage="1" showErrorMessage="1" sqref="F6:F24" xr:uid="{00000000-0002-0000-0400-000002000000}">
      <formula1>"1　経営戦略・グループ戦略部,2　新規事業開発部,3　総務部,4　財務部,5　調達部,6　統括部,7　駅務部,8　運転部,9　営業部,A　電気部,B　車両部,C　工務部,D　建築部,E　安全推進室,F　監査室,G　人事部,H　監査役室"</formula1>
    </dataValidation>
    <dataValidation type="list" allowBlank="1" showInputMessage="1" showErrorMessage="1" sqref="A6:B24" xr:uid="{00000000-0002-0000-0400-000003000000}">
      <formula1>"工事1,工事2,工事3,工事4,工事5,工事6,工事7,工事8,工事10,工事11,工事12,工事13,工事14,工事15,工事16,工事17,工事18,工事19,工事20"</formula1>
    </dataValidation>
  </dataValidations>
  <printOptions horizontalCentered="1" verticalCentered="1"/>
  <pageMargins left="0.98425196850393704" right="0.39370078740157499" top="0.78740157480314998" bottom="0.78740157480314998" header="0.51181102362204722" footer="0.51181102362204722"/>
  <pageSetup paperSize="9" scale="61" orientation="portrait" cellComments="asDisplayed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Q329"/>
  <sheetViews>
    <sheetView view="pageBreakPreview" topLeftCell="A128" zoomScale="85" zoomScaleNormal="100" zoomScaleSheetLayoutView="85" workbookViewId="0">
      <selection activeCell="F147" sqref="F147"/>
    </sheetView>
  </sheetViews>
  <sheetFormatPr baseColWidth="10" defaultColWidth="8.83203125" defaultRowHeight="13.5" customHeight="1"/>
  <cols>
    <col min="1" max="2" width="2.5" style="533" customWidth="1"/>
    <col min="3" max="3" width="9.6640625" style="533" customWidth="1"/>
    <col min="4" max="4" width="13.83203125" style="533" customWidth="1"/>
    <col min="5" max="5" width="4.1640625" style="533" customWidth="1"/>
    <col min="6" max="6" width="45.1640625" style="533" customWidth="1"/>
    <col min="7" max="7" width="15.1640625" style="533" customWidth="1"/>
    <col min="8" max="8" width="14.1640625" style="755" customWidth="1"/>
    <col min="9" max="9" width="2.1640625" style="532" customWidth="1"/>
    <col min="10" max="227" width="9" style="533"/>
    <col min="228" max="228" width="2.5" style="533" customWidth="1"/>
    <col min="229" max="229" width="3.5" style="533" customWidth="1"/>
    <col min="230" max="230" width="21.5" style="533" customWidth="1"/>
    <col min="231" max="231" width="4" style="533" customWidth="1"/>
    <col min="232" max="232" width="5.33203125" style="533" customWidth="1"/>
    <col min="233" max="233" width="15.1640625" style="533" customWidth="1"/>
    <col min="234" max="241" width="14.1640625" style="533" customWidth="1"/>
    <col min="242" max="483" width="9" style="533"/>
    <col min="484" max="484" width="2.5" style="533" customWidth="1"/>
    <col min="485" max="485" width="3.5" style="533" customWidth="1"/>
    <col min="486" max="486" width="21.5" style="533" customWidth="1"/>
    <col min="487" max="487" width="4" style="533" customWidth="1"/>
    <col min="488" max="488" width="5.33203125" style="533" customWidth="1"/>
    <col min="489" max="489" width="15.1640625" style="533" customWidth="1"/>
    <col min="490" max="497" width="14.1640625" style="533" customWidth="1"/>
    <col min="498" max="739" width="9" style="533"/>
    <col min="740" max="740" width="2.5" style="533" customWidth="1"/>
    <col min="741" max="741" width="3.5" style="533" customWidth="1"/>
    <col min="742" max="742" width="21.5" style="533" customWidth="1"/>
    <col min="743" max="743" width="4" style="533" customWidth="1"/>
    <col min="744" max="744" width="5.33203125" style="533" customWidth="1"/>
    <col min="745" max="745" width="15.1640625" style="533" customWidth="1"/>
    <col min="746" max="753" width="14.1640625" style="533" customWidth="1"/>
    <col min="754" max="995" width="9" style="533"/>
    <col min="996" max="996" width="2.5" style="533" customWidth="1"/>
    <col min="997" max="997" width="3.5" style="533" customWidth="1"/>
    <col min="998" max="998" width="21.5" style="533" customWidth="1"/>
    <col min="999" max="999" width="4" style="533" customWidth="1"/>
    <col min="1000" max="1000" width="5.33203125" style="533" customWidth="1"/>
    <col min="1001" max="1001" width="15.1640625" style="533" customWidth="1"/>
    <col min="1002" max="1009" width="14.1640625" style="533" customWidth="1"/>
    <col min="1010" max="1251" width="9" style="533"/>
    <col min="1252" max="1252" width="2.5" style="533" customWidth="1"/>
    <col min="1253" max="1253" width="3.5" style="533" customWidth="1"/>
    <col min="1254" max="1254" width="21.5" style="533" customWidth="1"/>
    <col min="1255" max="1255" width="4" style="533" customWidth="1"/>
    <col min="1256" max="1256" width="5.33203125" style="533" customWidth="1"/>
    <col min="1257" max="1257" width="15.1640625" style="533" customWidth="1"/>
    <col min="1258" max="1265" width="14.1640625" style="533" customWidth="1"/>
    <col min="1266" max="1507" width="9" style="533"/>
    <col min="1508" max="1508" width="2.5" style="533" customWidth="1"/>
    <col min="1509" max="1509" width="3.5" style="533" customWidth="1"/>
    <col min="1510" max="1510" width="21.5" style="533" customWidth="1"/>
    <col min="1511" max="1511" width="4" style="533" customWidth="1"/>
    <col min="1512" max="1512" width="5.33203125" style="533" customWidth="1"/>
    <col min="1513" max="1513" width="15.1640625" style="533" customWidth="1"/>
    <col min="1514" max="1521" width="14.1640625" style="533" customWidth="1"/>
    <col min="1522" max="1763" width="9" style="533"/>
    <col min="1764" max="1764" width="2.5" style="533" customWidth="1"/>
    <col min="1765" max="1765" width="3.5" style="533" customWidth="1"/>
    <col min="1766" max="1766" width="21.5" style="533" customWidth="1"/>
    <col min="1767" max="1767" width="4" style="533" customWidth="1"/>
    <col min="1768" max="1768" width="5.33203125" style="533" customWidth="1"/>
    <col min="1769" max="1769" width="15.1640625" style="533" customWidth="1"/>
    <col min="1770" max="1777" width="14.1640625" style="533" customWidth="1"/>
    <col min="1778" max="2019" width="9" style="533"/>
    <col min="2020" max="2020" width="2.5" style="533" customWidth="1"/>
    <col min="2021" max="2021" width="3.5" style="533" customWidth="1"/>
    <col min="2022" max="2022" width="21.5" style="533" customWidth="1"/>
    <col min="2023" max="2023" width="4" style="533" customWidth="1"/>
    <col min="2024" max="2024" width="5.33203125" style="533" customWidth="1"/>
    <col min="2025" max="2025" width="15.1640625" style="533" customWidth="1"/>
    <col min="2026" max="2033" width="14.1640625" style="533" customWidth="1"/>
    <col min="2034" max="2275" width="9" style="533"/>
    <col min="2276" max="2276" width="2.5" style="533" customWidth="1"/>
    <col min="2277" max="2277" width="3.5" style="533" customWidth="1"/>
    <col min="2278" max="2278" width="21.5" style="533" customWidth="1"/>
    <col min="2279" max="2279" width="4" style="533" customWidth="1"/>
    <col min="2280" max="2280" width="5.33203125" style="533" customWidth="1"/>
    <col min="2281" max="2281" width="15.1640625" style="533" customWidth="1"/>
    <col min="2282" max="2289" width="14.1640625" style="533" customWidth="1"/>
    <col min="2290" max="2531" width="9" style="533"/>
    <col min="2532" max="2532" width="2.5" style="533" customWidth="1"/>
    <col min="2533" max="2533" width="3.5" style="533" customWidth="1"/>
    <col min="2534" max="2534" width="21.5" style="533" customWidth="1"/>
    <col min="2535" max="2535" width="4" style="533" customWidth="1"/>
    <col min="2536" max="2536" width="5.33203125" style="533" customWidth="1"/>
    <col min="2537" max="2537" width="15.1640625" style="533" customWidth="1"/>
    <col min="2538" max="2545" width="14.1640625" style="533" customWidth="1"/>
    <col min="2546" max="2787" width="9" style="533"/>
    <col min="2788" max="2788" width="2.5" style="533" customWidth="1"/>
    <col min="2789" max="2789" width="3.5" style="533" customWidth="1"/>
    <col min="2790" max="2790" width="21.5" style="533" customWidth="1"/>
    <col min="2791" max="2791" width="4" style="533" customWidth="1"/>
    <col min="2792" max="2792" width="5.33203125" style="533" customWidth="1"/>
    <col min="2793" max="2793" width="15.1640625" style="533" customWidth="1"/>
    <col min="2794" max="2801" width="14.1640625" style="533" customWidth="1"/>
    <col min="2802" max="3043" width="9" style="533"/>
    <col min="3044" max="3044" width="2.5" style="533" customWidth="1"/>
    <col min="3045" max="3045" width="3.5" style="533" customWidth="1"/>
    <col min="3046" max="3046" width="21.5" style="533" customWidth="1"/>
    <col min="3047" max="3047" width="4" style="533" customWidth="1"/>
    <col min="3048" max="3048" width="5.33203125" style="533" customWidth="1"/>
    <col min="3049" max="3049" width="15.1640625" style="533" customWidth="1"/>
    <col min="3050" max="3057" width="14.1640625" style="533" customWidth="1"/>
    <col min="3058" max="3299" width="9" style="533"/>
    <col min="3300" max="3300" width="2.5" style="533" customWidth="1"/>
    <col min="3301" max="3301" width="3.5" style="533" customWidth="1"/>
    <col min="3302" max="3302" width="21.5" style="533" customWidth="1"/>
    <col min="3303" max="3303" width="4" style="533" customWidth="1"/>
    <col min="3304" max="3304" width="5.33203125" style="533" customWidth="1"/>
    <col min="3305" max="3305" width="15.1640625" style="533" customWidth="1"/>
    <col min="3306" max="3313" width="14.1640625" style="533" customWidth="1"/>
    <col min="3314" max="3555" width="9" style="533"/>
    <col min="3556" max="3556" width="2.5" style="533" customWidth="1"/>
    <col min="3557" max="3557" width="3.5" style="533" customWidth="1"/>
    <col min="3558" max="3558" width="21.5" style="533" customWidth="1"/>
    <col min="3559" max="3559" width="4" style="533" customWidth="1"/>
    <col min="3560" max="3560" width="5.33203125" style="533" customWidth="1"/>
    <col min="3561" max="3561" width="15.1640625" style="533" customWidth="1"/>
    <col min="3562" max="3569" width="14.1640625" style="533" customWidth="1"/>
    <col min="3570" max="3811" width="9" style="533"/>
    <col min="3812" max="3812" width="2.5" style="533" customWidth="1"/>
    <col min="3813" max="3813" width="3.5" style="533" customWidth="1"/>
    <col min="3814" max="3814" width="21.5" style="533" customWidth="1"/>
    <col min="3815" max="3815" width="4" style="533" customWidth="1"/>
    <col min="3816" max="3816" width="5.33203125" style="533" customWidth="1"/>
    <col min="3817" max="3817" width="15.1640625" style="533" customWidth="1"/>
    <col min="3818" max="3825" width="14.1640625" style="533" customWidth="1"/>
    <col min="3826" max="4067" width="9" style="533"/>
    <col min="4068" max="4068" width="2.5" style="533" customWidth="1"/>
    <col min="4069" max="4069" width="3.5" style="533" customWidth="1"/>
    <col min="4070" max="4070" width="21.5" style="533" customWidth="1"/>
    <col min="4071" max="4071" width="4" style="533" customWidth="1"/>
    <col min="4072" max="4072" width="5.33203125" style="533" customWidth="1"/>
    <col min="4073" max="4073" width="15.1640625" style="533" customWidth="1"/>
    <col min="4074" max="4081" width="14.1640625" style="533" customWidth="1"/>
    <col min="4082" max="4323" width="9" style="533"/>
    <col min="4324" max="4324" width="2.5" style="533" customWidth="1"/>
    <col min="4325" max="4325" width="3.5" style="533" customWidth="1"/>
    <col min="4326" max="4326" width="21.5" style="533" customWidth="1"/>
    <col min="4327" max="4327" width="4" style="533" customWidth="1"/>
    <col min="4328" max="4328" width="5.33203125" style="533" customWidth="1"/>
    <col min="4329" max="4329" width="15.1640625" style="533" customWidth="1"/>
    <col min="4330" max="4337" width="14.1640625" style="533" customWidth="1"/>
    <col min="4338" max="4579" width="9" style="533"/>
    <col min="4580" max="4580" width="2.5" style="533" customWidth="1"/>
    <col min="4581" max="4581" width="3.5" style="533" customWidth="1"/>
    <col min="4582" max="4582" width="21.5" style="533" customWidth="1"/>
    <col min="4583" max="4583" width="4" style="533" customWidth="1"/>
    <col min="4584" max="4584" width="5.33203125" style="533" customWidth="1"/>
    <col min="4585" max="4585" width="15.1640625" style="533" customWidth="1"/>
    <col min="4586" max="4593" width="14.1640625" style="533" customWidth="1"/>
    <col min="4594" max="4835" width="9" style="533"/>
    <col min="4836" max="4836" width="2.5" style="533" customWidth="1"/>
    <col min="4837" max="4837" width="3.5" style="533" customWidth="1"/>
    <col min="4838" max="4838" width="21.5" style="533" customWidth="1"/>
    <col min="4839" max="4839" width="4" style="533" customWidth="1"/>
    <col min="4840" max="4840" width="5.33203125" style="533" customWidth="1"/>
    <col min="4841" max="4841" width="15.1640625" style="533" customWidth="1"/>
    <col min="4842" max="4849" width="14.1640625" style="533" customWidth="1"/>
    <col min="4850" max="5091" width="9" style="533"/>
    <col min="5092" max="5092" width="2.5" style="533" customWidth="1"/>
    <col min="5093" max="5093" width="3.5" style="533" customWidth="1"/>
    <col min="5094" max="5094" width="21.5" style="533" customWidth="1"/>
    <col min="5095" max="5095" width="4" style="533" customWidth="1"/>
    <col min="5096" max="5096" width="5.33203125" style="533" customWidth="1"/>
    <col min="5097" max="5097" width="15.1640625" style="533" customWidth="1"/>
    <col min="5098" max="5105" width="14.1640625" style="533" customWidth="1"/>
    <col min="5106" max="5347" width="9" style="533"/>
    <col min="5348" max="5348" width="2.5" style="533" customWidth="1"/>
    <col min="5349" max="5349" width="3.5" style="533" customWidth="1"/>
    <col min="5350" max="5350" width="21.5" style="533" customWidth="1"/>
    <col min="5351" max="5351" width="4" style="533" customWidth="1"/>
    <col min="5352" max="5352" width="5.33203125" style="533" customWidth="1"/>
    <col min="5353" max="5353" width="15.1640625" style="533" customWidth="1"/>
    <col min="5354" max="5361" width="14.1640625" style="533" customWidth="1"/>
    <col min="5362" max="5603" width="9" style="533"/>
    <col min="5604" max="5604" width="2.5" style="533" customWidth="1"/>
    <col min="5605" max="5605" width="3.5" style="533" customWidth="1"/>
    <col min="5606" max="5606" width="21.5" style="533" customWidth="1"/>
    <col min="5607" max="5607" width="4" style="533" customWidth="1"/>
    <col min="5608" max="5608" width="5.33203125" style="533" customWidth="1"/>
    <col min="5609" max="5609" width="15.1640625" style="533" customWidth="1"/>
    <col min="5610" max="5617" width="14.1640625" style="533" customWidth="1"/>
    <col min="5618" max="5859" width="9" style="533"/>
    <col min="5860" max="5860" width="2.5" style="533" customWidth="1"/>
    <col min="5861" max="5861" width="3.5" style="533" customWidth="1"/>
    <col min="5862" max="5862" width="21.5" style="533" customWidth="1"/>
    <col min="5863" max="5863" width="4" style="533" customWidth="1"/>
    <col min="5864" max="5864" width="5.33203125" style="533" customWidth="1"/>
    <col min="5865" max="5865" width="15.1640625" style="533" customWidth="1"/>
    <col min="5866" max="5873" width="14.1640625" style="533" customWidth="1"/>
    <col min="5874" max="6115" width="9" style="533"/>
    <col min="6116" max="6116" width="2.5" style="533" customWidth="1"/>
    <col min="6117" max="6117" width="3.5" style="533" customWidth="1"/>
    <col min="6118" max="6118" width="21.5" style="533" customWidth="1"/>
    <col min="6119" max="6119" width="4" style="533" customWidth="1"/>
    <col min="6120" max="6120" width="5.33203125" style="533" customWidth="1"/>
    <col min="6121" max="6121" width="15.1640625" style="533" customWidth="1"/>
    <col min="6122" max="6129" width="14.1640625" style="533" customWidth="1"/>
    <col min="6130" max="6371" width="9" style="533"/>
    <col min="6372" max="6372" width="2.5" style="533" customWidth="1"/>
    <col min="6373" max="6373" width="3.5" style="533" customWidth="1"/>
    <col min="6374" max="6374" width="21.5" style="533" customWidth="1"/>
    <col min="6375" max="6375" width="4" style="533" customWidth="1"/>
    <col min="6376" max="6376" width="5.33203125" style="533" customWidth="1"/>
    <col min="6377" max="6377" width="15.1640625" style="533" customWidth="1"/>
    <col min="6378" max="6385" width="14.1640625" style="533" customWidth="1"/>
    <col min="6386" max="6627" width="9" style="533"/>
    <col min="6628" max="6628" width="2.5" style="533" customWidth="1"/>
    <col min="6629" max="6629" width="3.5" style="533" customWidth="1"/>
    <col min="6630" max="6630" width="21.5" style="533" customWidth="1"/>
    <col min="6631" max="6631" width="4" style="533" customWidth="1"/>
    <col min="6632" max="6632" width="5.33203125" style="533" customWidth="1"/>
    <col min="6633" max="6633" width="15.1640625" style="533" customWidth="1"/>
    <col min="6634" max="6641" width="14.1640625" style="533" customWidth="1"/>
    <col min="6642" max="6883" width="9" style="533"/>
    <col min="6884" max="6884" width="2.5" style="533" customWidth="1"/>
    <col min="6885" max="6885" width="3.5" style="533" customWidth="1"/>
    <col min="6886" max="6886" width="21.5" style="533" customWidth="1"/>
    <col min="6887" max="6887" width="4" style="533" customWidth="1"/>
    <col min="6888" max="6888" width="5.33203125" style="533" customWidth="1"/>
    <col min="6889" max="6889" width="15.1640625" style="533" customWidth="1"/>
    <col min="6890" max="6897" width="14.1640625" style="533" customWidth="1"/>
    <col min="6898" max="7139" width="9" style="533"/>
    <col min="7140" max="7140" width="2.5" style="533" customWidth="1"/>
    <col min="7141" max="7141" width="3.5" style="533" customWidth="1"/>
    <col min="7142" max="7142" width="21.5" style="533" customWidth="1"/>
    <col min="7143" max="7143" width="4" style="533" customWidth="1"/>
    <col min="7144" max="7144" width="5.33203125" style="533" customWidth="1"/>
    <col min="7145" max="7145" width="15.1640625" style="533" customWidth="1"/>
    <col min="7146" max="7153" width="14.1640625" style="533" customWidth="1"/>
    <col min="7154" max="7395" width="9" style="533"/>
    <col min="7396" max="7396" width="2.5" style="533" customWidth="1"/>
    <col min="7397" max="7397" width="3.5" style="533" customWidth="1"/>
    <col min="7398" max="7398" width="21.5" style="533" customWidth="1"/>
    <col min="7399" max="7399" width="4" style="533" customWidth="1"/>
    <col min="7400" max="7400" width="5.33203125" style="533" customWidth="1"/>
    <col min="7401" max="7401" width="15.1640625" style="533" customWidth="1"/>
    <col min="7402" max="7409" width="14.1640625" style="533" customWidth="1"/>
    <col min="7410" max="7651" width="9" style="533"/>
    <col min="7652" max="7652" width="2.5" style="533" customWidth="1"/>
    <col min="7653" max="7653" width="3.5" style="533" customWidth="1"/>
    <col min="7654" max="7654" width="21.5" style="533" customWidth="1"/>
    <col min="7655" max="7655" width="4" style="533" customWidth="1"/>
    <col min="7656" max="7656" width="5.33203125" style="533" customWidth="1"/>
    <col min="7657" max="7657" width="15.1640625" style="533" customWidth="1"/>
    <col min="7658" max="7665" width="14.1640625" style="533" customWidth="1"/>
    <col min="7666" max="7907" width="9" style="533"/>
    <col min="7908" max="7908" width="2.5" style="533" customWidth="1"/>
    <col min="7909" max="7909" width="3.5" style="533" customWidth="1"/>
    <col min="7910" max="7910" width="21.5" style="533" customWidth="1"/>
    <col min="7911" max="7911" width="4" style="533" customWidth="1"/>
    <col min="7912" max="7912" width="5.33203125" style="533" customWidth="1"/>
    <col min="7913" max="7913" width="15.1640625" style="533" customWidth="1"/>
    <col min="7914" max="7921" width="14.1640625" style="533" customWidth="1"/>
    <col min="7922" max="8163" width="9" style="533"/>
    <col min="8164" max="8164" width="2.5" style="533" customWidth="1"/>
    <col min="8165" max="8165" width="3.5" style="533" customWidth="1"/>
    <col min="8166" max="8166" width="21.5" style="533" customWidth="1"/>
    <col min="8167" max="8167" width="4" style="533" customWidth="1"/>
    <col min="8168" max="8168" width="5.33203125" style="533" customWidth="1"/>
    <col min="8169" max="8169" width="15.1640625" style="533" customWidth="1"/>
    <col min="8170" max="8177" width="14.1640625" style="533" customWidth="1"/>
    <col min="8178" max="8419" width="9" style="533"/>
    <col min="8420" max="8420" width="2.5" style="533" customWidth="1"/>
    <col min="8421" max="8421" width="3.5" style="533" customWidth="1"/>
    <col min="8422" max="8422" width="21.5" style="533" customWidth="1"/>
    <col min="8423" max="8423" width="4" style="533" customWidth="1"/>
    <col min="8424" max="8424" width="5.33203125" style="533" customWidth="1"/>
    <col min="8425" max="8425" width="15.1640625" style="533" customWidth="1"/>
    <col min="8426" max="8433" width="14.1640625" style="533" customWidth="1"/>
    <col min="8434" max="8675" width="9" style="533"/>
    <col min="8676" max="8676" width="2.5" style="533" customWidth="1"/>
    <col min="8677" max="8677" width="3.5" style="533" customWidth="1"/>
    <col min="8678" max="8678" width="21.5" style="533" customWidth="1"/>
    <col min="8679" max="8679" width="4" style="533" customWidth="1"/>
    <col min="8680" max="8680" width="5.33203125" style="533" customWidth="1"/>
    <col min="8681" max="8681" width="15.1640625" style="533" customWidth="1"/>
    <col min="8682" max="8689" width="14.1640625" style="533" customWidth="1"/>
    <col min="8690" max="8931" width="9" style="533"/>
    <col min="8932" max="8932" width="2.5" style="533" customWidth="1"/>
    <col min="8933" max="8933" width="3.5" style="533" customWidth="1"/>
    <col min="8934" max="8934" width="21.5" style="533" customWidth="1"/>
    <col min="8935" max="8935" width="4" style="533" customWidth="1"/>
    <col min="8936" max="8936" width="5.33203125" style="533" customWidth="1"/>
    <col min="8937" max="8937" width="15.1640625" style="533" customWidth="1"/>
    <col min="8938" max="8945" width="14.1640625" style="533" customWidth="1"/>
    <col min="8946" max="9187" width="9" style="533"/>
    <col min="9188" max="9188" width="2.5" style="533" customWidth="1"/>
    <col min="9189" max="9189" width="3.5" style="533" customWidth="1"/>
    <col min="9190" max="9190" width="21.5" style="533" customWidth="1"/>
    <col min="9191" max="9191" width="4" style="533" customWidth="1"/>
    <col min="9192" max="9192" width="5.33203125" style="533" customWidth="1"/>
    <col min="9193" max="9193" width="15.1640625" style="533" customWidth="1"/>
    <col min="9194" max="9201" width="14.1640625" style="533" customWidth="1"/>
    <col min="9202" max="9443" width="9" style="533"/>
    <col min="9444" max="9444" width="2.5" style="533" customWidth="1"/>
    <col min="9445" max="9445" width="3.5" style="533" customWidth="1"/>
    <col min="9446" max="9446" width="21.5" style="533" customWidth="1"/>
    <col min="9447" max="9447" width="4" style="533" customWidth="1"/>
    <col min="9448" max="9448" width="5.33203125" style="533" customWidth="1"/>
    <col min="9449" max="9449" width="15.1640625" style="533" customWidth="1"/>
    <col min="9450" max="9457" width="14.1640625" style="533" customWidth="1"/>
    <col min="9458" max="9699" width="9" style="533"/>
    <col min="9700" max="9700" width="2.5" style="533" customWidth="1"/>
    <col min="9701" max="9701" width="3.5" style="533" customWidth="1"/>
    <col min="9702" max="9702" width="21.5" style="533" customWidth="1"/>
    <col min="9703" max="9703" width="4" style="533" customWidth="1"/>
    <col min="9704" max="9704" width="5.33203125" style="533" customWidth="1"/>
    <col min="9705" max="9705" width="15.1640625" style="533" customWidth="1"/>
    <col min="9706" max="9713" width="14.1640625" style="533" customWidth="1"/>
    <col min="9714" max="9955" width="9" style="533"/>
    <col min="9956" max="9956" width="2.5" style="533" customWidth="1"/>
    <col min="9957" max="9957" width="3.5" style="533" customWidth="1"/>
    <col min="9958" max="9958" width="21.5" style="533" customWidth="1"/>
    <col min="9959" max="9959" width="4" style="533" customWidth="1"/>
    <col min="9960" max="9960" width="5.33203125" style="533" customWidth="1"/>
    <col min="9961" max="9961" width="15.1640625" style="533" customWidth="1"/>
    <col min="9962" max="9969" width="14.1640625" style="533" customWidth="1"/>
    <col min="9970" max="10211" width="9" style="533"/>
    <col min="10212" max="10212" width="2.5" style="533" customWidth="1"/>
    <col min="10213" max="10213" width="3.5" style="533" customWidth="1"/>
    <col min="10214" max="10214" width="21.5" style="533" customWidth="1"/>
    <col min="10215" max="10215" width="4" style="533" customWidth="1"/>
    <col min="10216" max="10216" width="5.33203125" style="533" customWidth="1"/>
    <col min="10217" max="10217" width="15.1640625" style="533" customWidth="1"/>
    <col min="10218" max="10225" width="14.1640625" style="533" customWidth="1"/>
    <col min="10226" max="10467" width="9" style="533"/>
    <col min="10468" max="10468" width="2.5" style="533" customWidth="1"/>
    <col min="10469" max="10469" width="3.5" style="533" customWidth="1"/>
    <col min="10470" max="10470" width="21.5" style="533" customWidth="1"/>
    <col min="10471" max="10471" width="4" style="533" customWidth="1"/>
    <col min="10472" max="10472" width="5.33203125" style="533" customWidth="1"/>
    <col min="10473" max="10473" width="15.1640625" style="533" customWidth="1"/>
    <col min="10474" max="10481" width="14.1640625" style="533" customWidth="1"/>
    <col min="10482" max="10723" width="9" style="533"/>
    <col min="10724" max="10724" width="2.5" style="533" customWidth="1"/>
    <col min="10725" max="10725" width="3.5" style="533" customWidth="1"/>
    <col min="10726" max="10726" width="21.5" style="533" customWidth="1"/>
    <col min="10727" max="10727" width="4" style="533" customWidth="1"/>
    <col min="10728" max="10728" width="5.33203125" style="533" customWidth="1"/>
    <col min="10729" max="10729" width="15.1640625" style="533" customWidth="1"/>
    <col min="10730" max="10737" width="14.1640625" style="533" customWidth="1"/>
    <col min="10738" max="10979" width="9" style="533"/>
    <col min="10980" max="10980" width="2.5" style="533" customWidth="1"/>
    <col min="10981" max="10981" width="3.5" style="533" customWidth="1"/>
    <col min="10982" max="10982" width="21.5" style="533" customWidth="1"/>
    <col min="10983" max="10983" width="4" style="533" customWidth="1"/>
    <col min="10984" max="10984" width="5.33203125" style="533" customWidth="1"/>
    <col min="10985" max="10985" width="15.1640625" style="533" customWidth="1"/>
    <col min="10986" max="10993" width="14.1640625" style="533" customWidth="1"/>
    <col min="10994" max="11235" width="9" style="533"/>
    <col min="11236" max="11236" width="2.5" style="533" customWidth="1"/>
    <col min="11237" max="11237" width="3.5" style="533" customWidth="1"/>
    <col min="11238" max="11238" width="21.5" style="533" customWidth="1"/>
    <col min="11239" max="11239" width="4" style="533" customWidth="1"/>
    <col min="11240" max="11240" width="5.33203125" style="533" customWidth="1"/>
    <col min="11241" max="11241" width="15.1640625" style="533" customWidth="1"/>
    <col min="11242" max="11249" width="14.1640625" style="533" customWidth="1"/>
    <col min="11250" max="11491" width="9" style="533"/>
    <col min="11492" max="11492" width="2.5" style="533" customWidth="1"/>
    <col min="11493" max="11493" width="3.5" style="533" customWidth="1"/>
    <col min="11494" max="11494" width="21.5" style="533" customWidth="1"/>
    <col min="11495" max="11495" width="4" style="533" customWidth="1"/>
    <col min="11496" max="11496" width="5.33203125" style="533" customWidth="1"/>
    <col min="11497" max="11497" width="15.1640625" style="533" customWidth="1"/>
    <col min="11498" max="11505" width="14.1640625" style="533" customWidth="1"/>
    <col min="11506" max="11747" width="9" style="533"/>
    <col min="11748" max="11748" width="2.5" style="533" customWidth="1"/>
    <col min="11749" max="11749" width="3.5" style="533" customWidth="1"/>
    <col min="11750" max="11750" width="21.5" style="533" customWidth="1"/>
    <col min="11751" max="11751" width="4" style="533" customWidth="1"/>
    <col min="11752" max="11752" width="5.33203125" style="533" customWidth="1"/>
    <col min="11753" max="11753" width="15.1640625" style="533" customWidth="1"/>
    <col min="11754" max="11761" width="14.1640625" style="533" customWidth="1"/>
    <col min="11762" max="12003" width="9" style="533"/>
    <col min="12004" max="12004" width="2.5" style="533" customWidth="1"/>
    <col min="12005" max="12005" width="3.5" style="533" customWidth="1"/>
    <col min="12006" max="12006" width="21.5" style="533" customWidth="1"/>
    <col min="12007" max="12007" width="4" style="533" customWidth="1"/>
    <col min="12008" max="12008" width="5.33203125" style="533" customWidth="1"/>
    <col min="12009" max="12009" width="15.1640625" style="533" customWidth="1"/>
    <col min="12010" max="12017" width="14.1640625" style="533" customWidth="1"/>
    <col min="12018" max="12259" width="9" style="533"/>
    <col min="12260" max="12260" width="2.5" style="533" customWidth="1"/>
    <col min="12261" max="12261" width="3.5" style="533" customWidth="1"/>
    <col min="12262" max="12262" width="21.5" style="533" customWidth="1"/>
    <col min="12263" max="12263" width="4" style="533" customWidth="1"/>
    <col min="12264" max="12264" width="5.33203125" style="533" customWidth="1"/>
    <col min="12265" max="12265" width="15.1640625" style="533" customWidth="1"/>
    <col min="12266" max="12273" width="14.1640625" style="533" customWidth="1"/>
    <col min="12274" max="12515" width="9" style="533"/>
    <col min="12516" max="12516" width="2.5" style="533" customWidth="1"/>
    <col min="12517" max="12517" width="3.5" style="533" customWidth="1"/>
    <col min="12518" max="12518" width="21.5" style="533" customWidth="1"/>
    <col min="12519" max="12519" width="4" style="533" customWidth="1"/>
    <col min="12520" max="12520" width="5.33203125" style="533" customWidth="1"/>
    <col min="12521" max="12521" width="15.1640625" style="533" customWidth="1"/>
    <col min="12522" max="12529" width="14.1640625" style="533" customWidth="1"/>
    <col min="12530" max="12771" width="9" style="533"/>
    <col min="12772" max="12772" width="2.5" style="533" customWidth="1"/>
    <col min="12773" max="12773" width="3.5" style="533" customWidth="1"/>
    <col min="12774" max="12774" width="21.5" style="533" customWidth="1"/>
    <col min="12775" max="12775" width="4" style="533" customWidth="1"/>
    <col min="12776" max="12776" width="5.33203125" style="533" customWidth="1"/>
    <col min="12777" max="12777" width="15.1640625" style="533" customWidth="1"/>
    <col min="12778" max="12785" width="14.1640625" style="533" customWidth="1"/>
    <col min="12786" max="13027" width="9" style="533"/>
    <col min="13028" max="13028" width="2.5" style="533" customWidth="1"/>
    <col min="13029" max="13029" width="3.5" style="533" customWidth="1"/>
    <col min="13030" max="13030" width="21.5" style="533" customWidth="1"/>
    <col min="13031" max="13031" width="4" style="533" customWidth="1"/>
    <col min="13032" max="13032" width="5.33203125" style="533" customWidth="1"/>
    <col min="13033" max="13033" width="15.1640625" style="533" customWidth="1"/>
    <col min="13034" max="13041" width="14.1640625" style="533" customWidth="1"/>
    <col min="13042" max="13283" width="9" style="533"/>
    <col min="13284" max="13284" width="2.5" style="533" customWidth="1"/>
    <col min="13285" max="13285" width="3.5" style="533" customWidth="1"/>
    <col min="13286" max="13286" width="21.5" style="533" customWidth="1"/>
    <col min="13287" max="13287" width="4" style="533" customWidth="1"/>
    <col min="13288" max="13288" width="5.33203125" style="533" customWidth="1"/>
    <col min="13289" max="13289" width="15.1640625" style="533" customWidth="1"/>
    <col min="13290" max="13297" width="14.1640625" style="533" customWidth="1"/>
    <col min="13298" max="13539" width="9" style="533"/>
    <col min="13540" max="13540" width="2.5" style="533" customWidth="1"/>
    <col min="13541" max="13541" width="3.5" style="533" customWidth="1"/>
    <col min="13542" max="13542" width="21.5" style="533" customWidth="1"/>
    <col min="13543" max="13543" width="4" style="533" customWidth="1"/>
    <col min="13544" max="13544" width="5.33203125" style="533" customWidth="1"/>
    <col min="13545" max="13545" width="15.1640625" style="533" customWidth="1"/>
    <col min="13546" max="13553" width="14.1640625" style="533" customWidth="1"/>
    <col min="13554" max="13795" width="9" style="533"/>
    <col min="13796" max="13796" width="2.5" style="533" customWidth="1"/>
    <col min="13797" max="13797" width="3.5" style="533" customWidth="1"/>
    <col min="13798" max="13798" width="21.5" style="533" customWidth="1"/>
    <col min="13799" max="13799" width="4" style="533" customWidth="1"/>
    <col min="13800" max="13800" width="5.33203125" style="533" customWidth="1"/>
    <col min="13801" max="13801" width="15.1640625" style="533" customWidth="1"/>
    <col min="13802" max="13809" width="14.1640625" style="533" customWidth="1"/>
    <col min="13810" max="14051" width="9" style="533"/>
    <col min="14052" max="14052" width="2.5" style="533" customWidth="1"/>
    <col min="14053" max="14053" width="3.5" style="533" customWidth="1"/>
    <col min="14054" max="14054" width="21.5" style="533" customWidth="1"/>
    <col min="14055" max="14055" width="4" style="533" customWidth="1"/>
    <col min="14056" max="14056" width="5.33203125" style="533" customWidth="1"/>
    <col min="14057" max="14057" width="15.1640625" style="533" customWidth="1"/>
    <col min="14058" max="14065" width="14.1640625" style="533" customWidth="1"/>
    <col min="14066" max="14307" width="9" style="533"/>
    <col min="14308" max="14308" width="2.5" style="533" customWidth="1"/>
    <col min="14309" max="14309" width="3.5" style="533" customWidth="1"/>
    <col min="14310" max="14310" width="21.5" style="533" customWidth="1"/>
    <col min="14311" max="14311" width="4" style="533" customWidth="1"/>
    <col min="14312" max="14312" width="5.33203125" style="533" customWidth="1"/>
    <col min="14313" max="14313" width="15.1640625" style="533" customWidth="1"/>
    <col min="14314" max="14321" width="14.1640625" style="533" customWidth="1"/>
    <col min="14322" max="14563" width="9" style="533"/>
    <col min="14564" max="14564" width="2.5" style="533" customWidth="1"/>
    <col min="14565" max="14565" width="3.5" style="533" customWidth="1"/>
    <col min="14566" max="14566" width="21.5" style="533" customWidth="1"/>
    <col min="14567" max="14567" width="4" style="533" customWidth="1"/>
    <col min="14568" max="14568" width="5.33203125" style="533" customWidth="1"/>
    <col min="14569" max="14569" width="15.1640625" style="533" customWidth="1"/>
    <col min="14570" max="14577" width="14.1640625" style="533" customWidth="1"/>
    <col min="14578" max="14819" width="9" style="533"/>
    <col min="14820" max="14820" width="2.5" style="533" customWidth="1"/>
    <col min="14821" max="14821" width="3.5" style="533" customWidth="1"/>
    <col min="14822" max="14822" width="21.5" style="533" customWidth="1"/>
    <col min="14823" max="14823" width="4" style="533" customWidth="1"/>
    <col min="14824" max="14824" width="5.33203125" style="533" customWidth="1"/>
    <col min="14825" max="14825" width="15.1640625" style="533" customWidth="1"/>
    <col min="14826" max="14833" width="14.1640625" style="533" customWidth="1"/>
    <col min="14834" max="15075" width="9" style="533"/>
    <col min="15076" max="15076" width="2.5" style="533" customWidth="1"/>
    <col min="15077" max="15077" width="3.5" style="533" customWidth="1"/>
    <col min="15078" max="15078" width="21.5" style="533" customWidth="1"/>
    <col min="15079" max="15079" width="4" style="533" customWidth="1"/>
    <col min="15080" max="15080" width="5.33203125" style="533" customWidth="1"/>
    <col min="15081" max="15081" width="15.1640625" style="533" customWidth="1"/>
    <col min="15082" max="15089" width="14.1640625" style="533" customWidth="1"/>
    <col min="15090" max="15331" width="9" style="533"/>
    <col min="15332" max="15332" width="2.5" style="533" customWidth="1"/>
    <col min="15333" max="15333" width="3.5" style="533" customWidth="1"/>
    <col min="15334" max="15334" width="21.5" style="533" customWidth="1"/>
    <col min="15335" max="15335" width="4" style="533" customWidth="1"/>
    <col min="15336" max="15336" width="5.33203125" style="533" customWidth="1"/>
    <col min="15337" max="15337" width="15.1640625" style="533" customWidth="1"/>
    <col min="15338" max="15345" width="14.1640625" style="533" customWidth="1"/>
    <col min="15346" max="15587" width="9" style="533"/>
    <col min="15588" max="15588" width="2.5" style="533" customWidth="1"/>
    <col min="15589" max="15589" width="3.5" style="533" customWidth="1"/>
    <col min="15590" max="15590" width="21.5" style="533" customWidth="1"/>
    <col min="15591" max="15591" width="4" style="533" customWidth="1"/>
    <col min="15592" max="15592" width="5.33203125" style="533" customWidth="1"/>
    <col min="15593" max="15593" width="15.1640625" style="533" customWidth="1"/>
    <col min="15594" max="15601" width="14.1640625" style="533" customWidth="1"/>
    <col min="15602" max="15843" width="9" style="533"/>
    <col min="15844" max="15844" width="2.5" style="533" customWidth="1"/>
    <col min="15845" max="15845" width="3.5" style="533" customWidth="1"/>
    <col min="15846" max="15846" width="21.5" style="533" customWidth="1"/>
    <col min="15847" max="15847" width="4" style="533" customWidth="1"/>
    <col min="15848" max="15848" width="5.33203125" style="533" customWidth="1"/>
    <col min="15849" max="15849" width="15.1640625" style="533" customWidth="1"/>
    <col min="15850" max="15857" width="14.1640625" style="533" customWidth="1"/>
    <col min="15858" max="16099" width="9" style="533"/>
    <col min="16100" max="16100" width="2.5" style="533" customWidth="1"/>
    <col min="16101" max="16101" width="3.5" style="533" customWidth="1"/>
    <col min="16102" max="16102" width="21.5" style="533" customWidth="1"/>
    <col min="16103" max="16103" width="4" style="533" customWidth="1"/>
    <col min="16104" max="16104" width="5.33203125" style="533" customWidth="1"/>
    <col min="16105" max="16105" width="15.1640625" style="533" customWidth="1"/>
    <col min="16106" max="16113" width="14.1640625" style="533" customWidth="1"/>
    <col min="16114" max="16384" width="9" style="533"/>
  </cols>
  <sheetData>
    <row r="1" spans="1:9" ht="13.5" customHeight="1">
      <c r="A1" s="528"/>
      <c r="B1" s="528"/>
      <c r="C1" s="531"/>
      <c r="D1" s="529"/>
      <c r="E1" s="529"/>
      <c r="F1" s="531" t="s">
        <v>2504</v>
      </c>
      <c r="G1" s="808"/>
      <c r="H1" s="808"/>
    </row>
    <row r="2" spans="1:9" ht="13.5" customHeight="1">
      <c r="A2" s="530"/>
      <c r="B2" s="528"/>
      <c r="C2" s="530"/>
      <c r="D2" s="531"/>
      <c r="E2" s="531"/>
      <c r="F2" s="529"/>
      <c r="G2" s="529"/>
      <c r="H2" s="534"/>
    </row>
    <row r="3" spans="1:9" ht="13.5" customHeight="1">
      <c r="A3" s="530"/>
      <c r="B3" s="528"/>
      <c r="C3" s="811"/>
      <c r="D3" s="531"/>
      <c r="E3" s="531"/>
      <c r="F3" s="529"/>
      <c r="G3" s="529"/>
      <c r="H3" s="534"/>
    </row>
    <row r="4" spans="1:9" ht="13.5" customHeight="1">
      <c r="A4" s="812"/>
      <c r="B4" s="813"/>
      <c r="C4" s="813" t="s">
        <v>2503</v>
      </c>
      <c r="D4" s="814"/>
      <c r="E4" s="809"/>
      <c r="F4" s="535"/>
      <c r="G4" s="536" t="s">
        <v>381</v>
      </c>
      <c r="H4" s="537" t="s">
        <v>382</v>
      </c>
    </row>
    <row r="5" spans="1:9" s="547" customFormat="1" ht="13.5" customHeight="1">
      <c r="A5" s="538"/>
      <c r="B5" s="539"/>
      <c r="C5" s="540"/>
      <c r="D5" s="810" t="s">
        <v>383</v>
      </c>
      <c r="E5" s="542"/>
      <c r="F5" s="543"/>
      <c r="G5" s="544">
        <f t="shared" ref="G5:G19" si="0">SUM(H5:I5)</f>
        <v>10000000</v>
      </c>
      <c r="H5" s="545">
        <v>10000000</v>
      </c>
      <c r="I5" s="546"/>
    </row>
    <row r="6" spans="1:9" s="547" customFormat="1" ht="13.5" customHeight="1">
      <c r="A6" s="538"/>
      <c r="B6" s="539"/>
      <c r="C6" s="548"/>
      <c r="D6" s="549"/>
      <c r="E6" s="550"/>
      <c r="F6" s="551" t="s">
        <v>384</v>
      </c>
      <c r="G6" s="552" t="e">
        <f t="shared" ca="1" si="0"/>
        <v>#REF!</v>
      </c>
      <c r="H6" s="553" t="e">
        <f ca="1">IF(COUNTIF(INDIRECT("'"&amp;H$3&amp;"'!＄ｄ:$ｄ"),"直接仮設工事")=0,"0",VLOOKUP("直接仮設工事",INDIRECT("'"&amp;H$3&amp;"'!＄D:$L"),6,FALSE))</f>
        <v>#REF!</v>
      </c>
      <c r="I6" s="532"/>
    </row>
    <row r="7" spans="1:9" s="547" customFormat="1" ht="13.5" customHeight="1">
      <c r="A7" s="538"/>
      <c r="B7" s="539"/>
      <c r="C7" s="548"/>
      <c r="D7" s="554"/>
      <c r="E7" s="555"/>
      <c r="F7" s="556" t="s">
        <v>385</v>
      </c>
      <c r="G7" s="557" t="e">
        <f t="shared" ca="1" si="0"/>
        <v>#REF!</v>
      </c>
      <c r="H7" s="558" t="e">
        <f ca="1">IF(COUNTIF(INDIRECT("'"&amp;H$3&amp;"'!＄ｄ:$ｄ"),"部分撤去工事")=0,"0",VLOOKUP("部分撤去工事",INDIRECT("'"&amp;H$3&amp;"'!＄D:$L"),6,FALSE))</f>
        <v>#REF!</v>
      </c>
      <c r="I7" s="532"/>
    </row>
    <row r="8" spans="1:9" s="547" customFormat="1" ht="13.5" customHeight="1">
      <c r="A8" s="538"/>
      <c r="B8" s="539"/>
      <c r="C8" s="548"/>
      <c r="D8" s="559"/>
      <c r="E8" s="560"/>
      <c r="F8" s="561" t="s">
        <v>386</v>
      </c>
      <c r="G8" s="562" t="e">
        <f t="shared" ca="1" si="0"/>
        <v>#REF!</v>
      </c>
      <c r="H8" s="563" t="e">
        <f ca="1">H5-H6-H7</f>
        <v>#REF!</v>
      </c>
      <c r="I8" s="546"/>
    </row>
    <row r="9" spans="1:9" s="547" customFormat="1" ht="13.5" customHeight="1">
      <c r="A9" s="538"/>
      <c r="B9" s="539"/>
      <c r="C9" s="548"/>
      <c r="D9" s="564"/>
      <c r="E9" s="2732" t="s">
        <v>387</v>
      </c>
      <c r="F9" s="565" t="s">
        <v>383</v>
      </c>
      <c r="G9" s="557" t="e">
        <f t="shared" ca="1" si="0"/>
        <v>#REF!</v>
      </c>
      <c r="H9" s="764" t="e">
        <f ca="1">H5-H12</f>
        <v>#REF!</v>
      </c>
      <c r="I9" s="546"/>
    </row>
    <row r="10" spans="1:9" s="547" customFormat="1" ht="13.5" customHeight="1">
      <c r="A10" s="538"/>
      <c r="B10" s="539"/>
      <c r="C10" s="548"/>
      <c r="D10" s="566"/>
      <c r="E10" s="2733"/>
      <c r="F10" s="567" t="s">
        <v>388</v>
      </c>
      <c r="G10" s="557" t="e">
        <f t="shared" ca="1" si="0"/>
        <v>#REF!</v>
      </c>
      <c r="H10" s="765" t="e">
        <f ca="1">H7-H13</f>
        <v>#REF!</v>
      </c>
      <c r="I10" s="546"/>
    </row>
    <row r="11" spans="1:9" s="547" customFormat="1" ht="13.5" customHeight="1">
      <c r="A11" s="538"/>
      <c r="B11" s="539"/>
      <c r="C11" s="548"/>
      <c r="D11" s="566"/>
      <c r="E11" s="2734"/>
      <c r="F11" s="568" t="s">
        <v>386</v>
      </c>
      <c r="G11" s="557" t="e">
        <f t="shared" ca="1" si="0"/>
        <v>#REF!</v>
      </c>
      <c r="H11" s="563" t="e">
        <f ca="1">H8-H14</f>
        <v>#REF!</v>
      </c>
      <c r="I11" s="546"/>
    </row>
    <row r="12" spans="1:9" s="547" customFormat="1" ht="13.5" customHeight="1">
      <c r="A12" s="538"/>
      <c r="B12" s="539"/>
      <c r="C12" s="548"/>
      <c r="D12" s="569"/>
      <c r="E12" s="2732" t="s">
        <v>389</v>
      </c>
      <c r="F12" s="565" t="s">
        <v>383</v>
      </c>
      <c r="G12" s="570" t="e">
        <f t="shared" ca="1" si="0"/>
        <v>#REF!</v>
      </c>
      <c r="H12" s="571" t="e">
        <f ca="1">IF(H4="費用",H5,SUMIF(INDIRECT(H$3&amp;"!$ｊ:$ｊ"),"）うち費用",INDIRECT(H$3&amp;"!$ｋ:$ｋ")))</f>
        <v>#REF!</v>
      </c>
      <c r="I12" s="546"/>
    </row>
    <row r="13" spans="1:9" s="547" customFormat="1" ht="13.5" customHeight="1">
      <c r="A13" s="538"/>
      <c r="B13" s="539"/>
      <c r="C13" s="548"/>
      <c r="D13" s="566"/>
      <c r="E13" s="2733"/>
      <c r="F13" s="567" t="s">
        <v>388</v>
      </c>
      <c r="G13" s="572" t="e">
        <f t="shared" ca="1" si="0"/>
        <v>#REF!</v>
      </c>
      <c r="H13" s="573" t="e">
        <f ca="1">IF(H4="費用",H7,SUMIF(INDIRECT(H$3&amp;"!$ｊ:$ｊ"),"）うち費用",INDIRECT(H$3&amp;"!$ｋ:$ｋ")))</f>
        <v>#REF!</v>
      </c>
      <c r="I13" s="546"/>
    </row>
    <row r="14" spans="1:9" s="547" customFormat="1" ht="13.5" customHeight="1">
      <c r="A14" s="538"/>
      <c r="B14" s="539"/>
      <c r="C14" s="548"/>
      <c r="D14" s="574"/>
      <c r="E14" s="2734"/>
      <c r="F14" s="575" t="s">
        <v>386</v>
      </c>
      <c r="G14" s="576" t="e">
        <f t="shared" ca="1" si="0"/>
        <v>#REF!</v>
      </c>
      <c r="H14" s="563" t="e">
        <f ca="1">IF(H4="費用",H12-H13-H6,H12-H13)</f>
        <v>#REF!</v>
      </c>
      <c r="I14" s="546"/>
    </row>
    <row r="15" spans="1:9" s="547" customFormat="1" ht="13.5" customHeight="1">
      <c r="A15" s="538"/>
      <c r="B15" s="539"/>
      <c r="C15" s="577"/>
      <c r="D15" s="541" t="s">
        <v>390</v>
      </c>
      <c r="E15" s="542"/>
      <c r="F15" s="543"/>
      <c r="G15" s="544" t="e">
        <f t="shared" ca="1" si="0"/>
        <v>#REF!</v>
      </c>
      <c r="H15" s="578" t="e">
        <f ca="1">SUM(H16:H18)</f>
        <v>#REF!</v>
      </c>
      <c r="I15" s="546"/>
    </row>
    <row r="16" spans="1:9" s="547" customFormat="1" ht="13.5" customHeight="1">
      <c r="A16" s="538"/>
      <c r="B16" s="539"/>
      <c r="C16" s="548"/>
      <c r="D16" s="549"/>
      <c r="E16" s="550"/>
      <c r="F16" s="551" t="s">
        <v>391</v>
      </c>
      <c r="G16" s="552" t="e">
        <f t="shared" ca="1" si="0"/>
        <v>#REF!</v>
      </c>
      <c r="H16" s="553" t="e">
        <f ca="1">SUMIF(INDIRECT(H$3&amp;"!$ｄ:$ｄ"),"共通仮設費",INDIRECT(H$3&amp;"!$I:$ｉ"))</f>
        <v>#REF!</v>
      </c>
      <c r="I16" s="546"/>
    </row>
    <row r="17" spans="1:17" ht="13.5" customHeight="1">
      <c r="A17" s="538"/>
      <c r="B17" s="539"/>
      <c r="C17" s="548"/>
      <c r="D17" s="579"/>
      <c r="E17" s="580"/>
      <c r="F17" s="581" t="s">
        <v>392</v>
      </c>
      <c r="G17" s="582">
        <f t="shared" si="0"/>
        <v>5000000</v>
      </c>
      <c r="H17" s="583">
        <v>5000000</v>
      </c>
    </row>
    <row r="18" spans="1:17" ht="13.5" customHeight="1">
      <c r="A18" s="538"/>
      <c r="B18" s="539"/>
      <c r="C18" s="548"/>
      <c r="D18" s="559"/>
      <c r="E18" s="560"/>
      <c r="F18" s="584" t="s">
        <v>393</v>
      </c>
      <c r="G18" s="585">
        <f t="shared" si="0"/>
        <v>3000000</v>
      </c>
      <c r="H18" s="586">
        <v>3000000</v>
      </c>
      <c r="Q18" s="587"/>
    </row>
    <row r="19" spans="1:17" s="587" customFormat="1" ht="13.5" customHeight="1">
      <c r="A19" s="588"/>
      <c r="B19" s="589"/>
      <c r="C19" s="590"/>
      <c r="D19" s="591" t="s">
        <v>394</v>
      </c>
      <c r="E19" s="592"/>
      <c r="F19" s="593"/>
      <c r="G19" s="594" t="e">
        <f t="shared" ca="1" si="0"/>
        <v>#REF!</v>
      </c>
      <c r="H19" s="595" t="e">
        <f ca="1">+H15+H5</f>
        <v>#REF!</v>
      </c>
      <c r="I19" s="596"/>
    </row>
    <row r="20" spans="1:17" s="587" customFormat="1" ht="13.5" customHeight="1">
      <c r="A20" s="597"/>
      <c r="B20" s="599"/>
      <c r="C20" s="767"/>
      <c r="D20" s="768"/>
      <c r="E20" s="599"/>
      <c r="F20" s="769"/>
      <c r="G20" s="770"/>
      <c r="H20" s="771"/>
      <c r="I20" s="596"/>
    </row>
    <row r="21" spans="1:17" s="547" customFormat="1" ht="13.5" customHeight="1">
      <c r="A21" s="538"/>
      <c r="B21" s="643"/>
      <c r="C21" s="775"/>
      <c r="D21" s="780"/>
      <c r="E21" s="781"/>
      <c r="F21" s="787" t="s">
        <v>2463</v>
      </c>
      <c r="G21" s="570">
        <f>SUM(H21:I21)</f>
        <v>0</v>
      </c>
      <c r="H21" s="790"/>
      <c r="I21" s="546"/>
    </row>
    <row r="22" spans="1:17" s="587" customFormat="1" ht="13.5" customHeight="1">
      <c r="A22" s="786"/>
      <c r="B22" s="772"/>
      <c r="C22" s="548"/>
      <c r="D22" s="785"/>
      <c r="E22" s="782"/>
      <c r="F22" s="584" t="s">
        <v>2510</v>
      </c>
      <c r="G22" s="783">
        <f>SUM(H22:I22)</f>
        <v>0</v>
      </c>
      <c r="H22" s="586"/>
      <c r="I22" s="596"/>
    </row>
    <row r="23" spans="1:17" s="587" customFormat="1" ht="13.5" customHeight="1">
      <c r="A23" s="589"/>
      <c r="B23" s="589"/>
      <c r="C23" s="590"/>
      <c r="D23" s="649"/>
      <c r="E23" s="784"/>
      <c r="F23" s="606" t="s">
        <v>2464</v>
      </c>
      <c r="G23" s="779">
        <f>SUM(H23:I23)</f>
        <v>0</v>
      </c>
      <c r="H23" s="791"/>
      <c r="I23" s="596"/>
    </row>
    <row r="24" spans="1:17" s="587" customFormat="1" ht="13.5" customHeight="1">
      <c r="A24" s="597"/>
      <c r="B24" s="589"/>
      <c r="C24" s="776"/>
      <c r="D24" s="589"/>
      <c r="E24" s="589"/>
      <c r="F24" s="766"/>
      <c r="G24" s="777" t="e">
        <f ca="1">IF(G$23=G328,"","工事価格が一致ません。↑")</f>
        <v>#REF!</v>
      </c>
      <c r="H24" s="778" t="e">
        <f ca="1">IF(H$23=H328,"","↑error")</f>
        <v>#REF!</v>
      </c>
      <c r="I24" s="596"/>
    </row>
    <row r="25" spans="1:17" s="587" customFormat="1" ht="13.5" customHeight="1">
      <c r="A25" s="598" t="s">
        <v>395</v>
      </c>
      <c r="B25" s="599"/>
      <c r="C25" s="600"/>
      <c r="D25" s="599"/>
      <c r="E25" s="2727" t="s">
        <v>396</v>
      </c>
      <c r="F25" s="601"/>
      <c r="G25" s="602" t="s">
        <v>397</v>
      </c>
      <c r="H25" s="603" t="s">
        <v>398</v>
      </c>
      <c r="I25" s="596"/>
    </row>
    <row r="26" spans="1:17" s="587" customFormat="1" ht="13.5" customHeight="1">
      <c r="A26" s="604"/>
      <c r="B26" s="2729" t="s">
        <v>399</v>
      </c>
      <c r="C26" s="2730"/>
      <c r="D26" s="2731"/>
      <c r="E26" s="2728"/>
      <c r="F26" s="605"/>
      <c r="G26" s="606" t="s">
        <v>400</v>
      </c>
      <c r="H26" s="607" t="s">
        <v>401</v>
      </c>
      <c r="I26" s="596"/>
    </row>
    <row r="27" spans="1:17" ht="13.5" customHeight="1">
      <c r="A27" s="538"/>
      <c r="B27" s="608"/>
      <c r="C27" s="609" t="s">
        <v>402</v>
      </c>
      <c r="D27" s="610" t="s">
        <v>403</v>
      </c>
      <c r="E27" s="611">
        <v>38</v>
      </c>
      <c r="F27" s="612" t="s">
        <v>404</v>
      </c>
      <c r="G27" s="613" t="e">
        <f t="shared" ref="G27:G53" ca="1" si="1">SUM(H27:I27)</f>
        <v>#REF!</v>
      </c>
      <c r="H27" s="571" t="e">
        <f ca="1">IF(H$4="費用",0,H11-SUM(H28:H52)-H91-H73)</f>
        <v>#REF!</v>
      </c>
    </row>
    <row r="28" spans="1:17" ht="13.5" customHeight="1">
      <c r="A28" s="538"/>
      <c r="B28" s="539"/>
      <c r="C28" s="614" t="s">
        <v>405</v>
      </c>
      <c r="D28" s="615" t="s">
        <v>403</v>
      </c>
      <c r="E28" s="616">
        <v>34</v>
      </c>
      <c r="F28" s="617" t="s">
        <v>406</v>
      </c>
      <c r="G28" s="618">
        <f t="shared" si="1"/>
        <v>0</v>
      </c>
      <c r="H28" s="619"/>
    </row>
    <row r="29" spans="1:17" ht="13.5" customHeight="1">
      <c r="A29" s="538"/>
      <c r="B29" s="539"/>
      <c r="C29" s="609" t="s">
        <v>407</v>
      </c>
      <c r="D29" s="615" t="s">
        <v>403</v>
      </c>
      <c r="E29" s="616">
        <v>31</v>
      </c>
      <c r="F29" s="617" t="s">
        <v>408</v>
      </c>
      <c r="G29" s="618">
        <f t="shared" si="1"/>
        <v>0</v>
      </c>
      <c r="H29" s="619"/>
    </row>
    <row r="30" spans="1:17" ht="13.5" customHeight="1">
      <c r="A30" s="538"/>
      <c r="B30" s="539"/>
      <c r="C30" s="614" t="s">
        <v>409</v>
      </c>
      <c r="D30" s="615" t="s">
        <v>403</v>
      </c>
      <c r="E30" s="616">
        <v>25</v>
      </c>
      <c r="F30" s="617" t="s">
        <v>410</v>
      </c>
      <c r="G30" s="618">
        <f t="shared" si="1"/>
        <v>0</v>
      </c>
      <c r="H30" s="619"/>
    </row>
    <row r="31" spans="1:17" ht="13.5" customHeight="1">
      <c r="A31" s="538"/>
      <c r="B31" s="539"/>
      <c r="C31" s="609" t="s">
        <v>411</v>
      </c>
      <c r="D31" s="615" t="s">
        <v>403</v>
      </c>
      <c r="E31" s="616">
        <v>19</v>
      </c>
      <c r="F31" s="617" t="s">
        <v>412</v>
      </c>
      <c r="G31" s="618">
        <f t="shared" si="1"/>
        <v>0</v>
      </c>
      <c r="H31" s="619"/>
    </row>
    <row r="32" spans="1:17" ht="13.5" customHeight="1">
      <c r="A32" s="538"/>
      <c r="B32" s="539"/>
      <c r="C32" s="614" t="s">
        <v>413</v>
      </c>
      <c r="D32" s="615" t="s">
        <v>403</v>
      </c>
      <c r="E32" s="616">
        <v>17</v>
      </c>
      <c r="F32" s="617" t="s">
        <v>414</v>
      </c>
      <c r="G32" s="618">
        <f t="shared" si="1"/>
        <v>0</v>
      </c>
      <c r="H32" s="619"/>
    </row>
    <row r="33" spans="1:9" ht="13.5" customHeight="1">
      <c r="A33" s="538"/>
      <c r="B33" s="539"/>
      <c r="C33" s="609" t="s">
        <v>415</v>
      </c>
      <c r="D33" s="615" t="s">
        <v>403</v>
      </c>
      <c r="E33" s="616">
        <v>15</v>
      </c>
      <c r="F33" s="617" t="s">
        <v>416</v>
      </c>
      <c r="G33" s="618">
        <f t="shared" si="1"/>
        <v>0</v>
      </c>
      <c r="H33" s="619"/>
    </row>
    <row r="34" spans="1:9" ht="13.5" customHeight="1">
      <c r="A34" s="538"/>
      <c r="B34" s="539"/>
      <c r="C34" s="614" t="s">
        <v>417</v>
      </c>
      <c r="D34" s="615" t="s">
        <v>403</v>
      </c>
      <c r="E34" s="616">
        <v>10</v>
      </c>
      <c r="F34" s="617" t="s">
        <v>418</v>
      </c>
      <c r="G34" s="618">
        <f t="shared" si="1"/>
        <v>0</v>
      </c>
      <c r="H34" s="619"/>
    </row>
    <row r="35" spans="1:9" ht="13.5" customHeight="1">
      <c r="A35" s="538"/>
      <c r="B35" s="539"/>
      <c r="C35" s="609" t="s">
        <v>419</v>
      </c>
      <c r="D35" s="615" t="s">
        <v>403</v>
      </c>
      <c r="E35" s="616">
        <v>7</v>
      </c>
      <c r="F35" s="617" t="s">
        <v>420</v>
      </c>
      <c r="G35" s="618">
        <f t="shared" si="1"/>
        <v>0</v>
      </c>
      <c r="H35" s="619"/>
    </row>
    <row r="36" spans="1:9" s="532" customFormat="1" ht="13.5" customHeight="1">
      <c r="A36" s="538"/>
      <c r="B36" s="539"/>
      <c r="C36" s="614" t="s">
        <v>421</v>
      </c>
      <c r="D36" s="620" t="s">
        <v>422</v>
      </c>
      <c r="E36" s="616">
        <v>6</v>
      </c>
      <c r="F36" s="621" t="s">
        <v>423</v>
      </c>
      <c r="G36" s="622">
        <f t="shared" si="1"/>
        <v>0</v>
      </c>
      <c r="H36" s="623"/>
    </row>
    <row r="37" spans="1:9" s="532" customFormat="1" ht="13.5" customHeight="1">
      <c r="A37" s="538"/>
      <c r="B37" s="539"/>
      <c r="C37" s="609" t="s">
        <v>424</v>
      </c>
      <c r="D37" s="620" t="s">
        <v>422</v>
      </c>
      <c r="E37" s="616">
        <v>15</v>
      </c>
      <c r="F37" s="621" t="s">
        <v>425</v>
      </c>
      <c r="G37" s="622">
        <f t="shared" si="1"/>
        <v>0</v>
      </c>
      <c r="H37" s="623"/>
    </row>
    <row r="38" spans="1:9" s="532" customFormat="1" ht="13.5" customHeight="1">
      <c r="A38" s="538"/>
      <c r="B38" s="539"/>
      <c r="C38" s="614" t="s">
        <v>426</v>
      </c>
      <c r="D38" s="620" t="s">
        <v>422</v>
      </c>
      <c r="E38" s="616">
        <v>15</v>
      </c>
      <c r="F38" s="621" t="s">
        <v>427</v>
      </c>
      <c r="G38" s="622">
        <f t="shared" si="1"/>
        <v>0</v>
      </c>
      <c r="H38" s="623"/>
    </row>
    <row r="39" spans="1:9" s="532" customFormat="1" ht="13.5" customHeight="1">
      <c r="A39" s="538"/>
      <c r="B39" s="539"/>
      <c r="C39" s="609" t="s">
        <v>428</v>
      </c>
      <c r="D39" s="620" t="s">
        <v>422</v>
      </c>
      <c r="E39" s="616">
        <v>13</v>
      </c>
      <c r="F39" s="621" t="s">
        <v>429</v>
      </c>
      <c r="G39" s="622">
        <f t="shared" si="1"/>
        <v>0</v>
      </c>
      <c r="H39" s="623"/>
    </row>
    <row r="40" spans="1:9" s="532" customFormat="1" ht="13.5" customHeight="1">
      <c r="A40" s="538"/>
      <c r="B40" s="539"/>
      <c r="C40" s="614" t="s">
        <v>430</v>
      </c>
      <c r="D40" s="620" t="s">
        <v>422</v>
      </c>
      <c r="E40" s="616">
        <v>15</v>
      </c>
      <c r="F40" s="621" t="s">
        <v>431</v>
      </c>
      <c r="G40" s="622">
        <f t="shared" si="1"/>
        <v>0</v>
      </c>
      <c r="H40" s="623"/>
    </row>
    <row r="41" spans="1:9" s="532" customFormat="1" ht="13.5" customHeight="1">
      <c r="A41" s="538"/>
      <c r="B41" s="539"/>
      <c r="C41" s="609" t="s">
        <v>432</v>
      </c>
      <c r="D41" s="620" t="s">
        <v>422</v>
      </c>
      <c r="E41" s="616">
        <v>17</v>
      </c>
      <c r="F41" s="621" t="s">
        <v>433</v>
      </c>
      <c r="G41" s="622">
        <f t="shared" si="1"/>
        <v>0</v>
      </c>
      <c r="H41" s="623"/>
    </row>
    <row r="42" spans="1:9" s="532" customFormat="1" ht="13.5" customHeight="1">
      <c r="A42" s="538"/>
      <c r="B42" s="539"/>
      <c r="C42" s="614" t="s">
        <v>434</v>
      </c>
      <c r="D42" s="620" t="s">
        <v>422</v>
      </c>
      <c r="E42" s="616">
        <v>15</v>
      </c>
      <c r="F42" s="621" t="s">
        <v>435</v>
      </c>
      <c r="G42" s="622">
        <f t="shared" si="1"/>
        <v>0</v>
      </c>
      <c r="H42" s="623"/>
    </row>
    <row r="43" spans="1:9" ht="13.5" customHeight="1">
      <c r="A43" s="538"/>
      <c r="B43" s="539"/>
      <c r="C43" s="609" t="s">
        <v>436</v>
      </c>
      <c r="D43" s="615"/>
      <c r="E43" s="616">
        <v>8</v>
      </c>
      <c r="F43" s="617" t="s">
        <v>437</v>
      </c>
      <c r="G43" s="618">
        <f t="shared" si="1"/>
        <v>0</v>
      </c>
      <c r="H43" s="619"/>
    </row>
    <row r="44" spans="1:9" ht="13.5" customHeight="1">
      <c r="A44" s="538"/>
      <c r="B44" s="539"/>
      <c r="C44" s="614" t="s">
        <v>438</v>
      </c>
      <c r="D44" s="615" t="s">
        <v>439</v>
      </c>
      <c r="E44" s="616">
        <v>12</v>
      </c>
      <c r="F44" s="617" t="s">
        <v>440</v>
      </c>
      <c r="G44" s="618">
        <f t="shared" si="1"/>
        <v>0</v>
      </c>
      <c r="H44" s="619"/>
    </row>
    <row r="45" spans="1:9" ht="13.5" customHeight="1">
      <c r="A45" s="538"/>
      <c r="B45" s="539"/>
      <c r="C45" s="609" t="s">
        <v>441</v>
      </c>
      <c r="D45" s="615" t="s">
        <v>439</v>
      </c>
      <c r="E45" s="616">
        <v>15</v>
      </c>
      <c r="F45" s="617" t="s">
        <v>442</v>
      </c>
      <c r="G45" s="618">
        <f t="shared" si="1"/>
        <v>0</v>
      </c>
      <c r="H45" s="619"/>
    </row>
    <row r="46" spans="1:9" ht="13.5" customHeight="1">
      <c r="A46" s="538"/>
      <c r="B46" s="539"/>
      <c r="C46" s="614" t="s">
        <v>443</v>
      </c>
      <c r="D46" s="615" t="s">
        <v>439</v>
      </c>
      <c r="E46" s="616">
        <v>8</v>
      </c>
      <c r="F46" s="617" t="s">
        <v>444</v>
      </c>
      <c r="G46" s="618">
        <f t="shared" si="1"/>
        <v>0</v>
      </c>
      <c r="H46" s="619"/>
    </row>
    <row r="47" spans="1:9" ht="13.5" customHeight="1">
      <c r="A47" s="538"/>
      <c r="B47" s="539"/>
      <c r="C47" s="609" t="s">
        <v>445</v>
      </c>
      <c r="D47" s="615" t="s">
        <v>439</v>
      </c>
      <c r="E47" s="616">
        <v>3</v>
      </c>
      <c r="F47" s="617" t="s">
        <v>446</v>
      </c>
      <c r="G47" s="618" t="e">
        <f t="shared" ca="1" si="1"/>
        <v>#REF!</v>
      </c>
      <c r="H47" s="623" t="e">
        <f ca="1">SUMIF(INDIRECT(H$3&amp;"!$ｎ:$ｎ"),"店舗用簡易設備",INDIRECT(H$3&amp;"!$i:$i"))</f>
        <v>#REF!</v>
      </c>
    </row>
    <row r="48" spans="1:9" ht="13.5" customHeight="1">
      <c r="A48" s="538"/>
      <c r="B48" s="539"/>
      <c r="C48" s="614" t="s">
        <v>447</v>
      </c>
      <c r="D48" s="615" t="s">
        <v>439</v>
      </c>
      <c r="E48" s="616">
        <v>3</v>
      </c>
      <c r="F48" s="617" t="s">
        <v>448</v>
      </c>
      <c r="G48" s="618" t="e">
        <f t="shared" ca="1" si="1"/>
        <v>#REF!</v>
      </c>
      <c r="H48" s="623" t="e">
        <f ca="1">SUMIF(INDIRECT(H$3&amp;"!$ｎ:$ｎ"),"可動間仕切り-簡易なもの",INDIRECT(H$3&amp;"!$i:$i"))</f>
        <v>#REF!</v>
      </c>
    </row>
    <row r="49" spans="1:9" ht="13.5" customHeight="1">
      <c r="A49" s="538"/>
      <c r="B49" s="608"/>
      <c r="C49" s="609" t="s">
        <v>449</v>
      </c>
      <c r="D49" s="615" t="s">
        <v>439</v>
      </c>
      <c r="E49" s="616">
        <v>15</v>
      </c>
      <c r="F49" s="617" t="s">
        <v>450</v>
      </c>
      <c r="G49" s="618" t="e">
        <f t="shared" ca="1" si="1"/>
        <v>#REF!</v>
      </c>
      <c r="H49" s="623" t="e">
        <f ca="1">SUMIF(INDIRECT(H$3&amp;"!$ｎ:$ｎ"),"可動間仕切り-その他",INDIRECT(H$3&amp;"!$i:$i"))</f>
        <v>#REF!</v>
      </c>
    </row>
    <row r="50" spans="1:9" ht="13.5" customHeight="1">
      <c r="A50" s="538"/>
      <c r="B50" s="539"/>
      <c r="C50" s="614" t="s">
        <v>451</v>
      </c>
      <c r="D50" s="615" t="s">
        <v>439</v>
      </c>
      <c r="E50" s="616">
        <v>18</v>
      </c>
      <c r="F50" s="617" t="s">
        <v>452</v>
      </c>
      <c r="G50" s="618" t="e">
        <f t="shared" ca="1" si="1"/>
        <v>#REF!</v>
      </c>
      <c r="H50" s="623" t="e">
        <f ca="1">SUMIF(INDIRECT(H$3&amp;"!$ｎ:$ｎ"),"シャッター等（金属製）",INDIRECT(H$3&amp;"!$i:$i"))</f>
        <v>#REF!</v>
      </c>
    </row>
    <row r="51" spans="1:9" ht="13.5" customHeight="1">
      <c r="A51" s="538"/>
      <c r="B51" s="539"/>
      <c r="C51" s="609" t="s">
        <v>453</v>
      </c>
      <c r="D51" s="615" t="s">
        <v>439</v>
      </c>
      <c r="E51" s="624">
        <v>10</v>
      </c>
      <c r="F51" s="617" t="s">
        <v>454</v>
      </c>
      <c r="G51" s="618" t="e">
        <f t="shared" ca="1" si="1"/>
        <v>#REF!</v>
      </c>
      <c r="H51" s="623" t="e">
        <f ca="1">SUMIF(INDIRECT(H$3&amp;"!$ｎ:$ｎ"),"シャッター等（その他）",INDIRECT(H$3&amp;"!$i:$i"))</f>
        <v>#REF!</v>
      </c>
    </row>
    <row r="52" spans="1:9" ht="13.5" customHeight="1">
      <c r="A52" s="538"/>
      <c r="B52" s="539"/>
      <c r="C52" s="625"/>
      <c r="D52" s="626"/>
      <c r="E52" s="627"/>
      <c r="F52" s="628"/>
      <c r="G52" s="629">
        <f t="shared" si="1"/>
        <v>0</v>
      </c>
      <c r="H52" s="619"/>
    </row>
    <row r="53" spans="1:9" ht="13.5" customHeight="1">
      <c r="A53" s="630"/>
      <c r="B53" s="631"/>
      <c r="C53" s="631"/>
      <c r="D53" s="631"/>
      <c r="E53" s="632"/>
      <c r="F53" s="633" t="s">
        <v>455</v>
      </c>
      <c r="G53" s="634" t="e">
        <f t="shared" ca="1" si="1"/>
        <v>#REF!</v>
      </c>
      <c r="H53" s="635" t="e">
        <f ca="1">IF(H$4="費用",0,SUM(H27:H52))</f>
        <v>#REF!</v>
      </c>
    </row>
    <row r="54" spans="1:9" s="587" customFormat="1" ht="13.5" customHeight="1">
      <c r="A54" s="598" t="s">
        <v>456</v>
      </c>
      <c r="B54" s="599"/>
      <c r="C54" s="600"/>
      <c r="D54" s="599"/>
      <c r="E54" s="2727" t="s">
        <v>396</v>
      </c>
      <c r="F54" s="601"/>
      <c r="G54" s="602" t="s">
        <v>397</v>
      </c>
      <c r="H54" s="603" t="s">
        <v>457</v>
      </c>
      <c r="I54" s="596"/>
    </row>
    <row r="55" spans="1:9" s="587" customFormat="1" ht="13.5" customHeight="1">
      <c r="A55" s="604"/>
      <c r="B55" s="2729" t="s">
        <v>458</v>
      </c>
      <c r="C55" s="2730"/>
      <c r="D55" s="2731"/>
      <c r="E55" s="2728"/>
      <c r="F55" s="605"/>
      <c r="G55" s="606" t="s">
        <v>459</v>
      </c>
      <c r="H55" s="636" t="s">
        <v>460</v>
      </c>
      <c r="I55" s="596"/>
    </row>
    <row r="56" spans="1:9" ht="13.5" customHeight="1">
      <c r="A56" s="538"/>
      <c r="B56" s="608"/>
      <c r="C56" s="610" t="s">
        <v>461</v>
      </c>
      <c r="D56" s="610"/>
      <c r="E56" s="611">
        <v>32</v>
      </c>
      <c r="F56" s="612"/>
      <c r="G56" s="618">
        <f>SUM(H56:I56)</f>
        <v>0</v>
      </c>
      <c r="H56" s="623">
        <f>SUM(H57:H58)</f>
        <v>0</v>
      </c>
    </row>
    <row r="57" spans="1:9" ht="13.5" customHeight="1">
      <c r="A57" s="538"/>
      <c r="B57" s="539"/>
      <c r="C57" s="614" t="s">
        <v>462</v>
      </c>
      <c r="D57" s="615" t="s">
        <v>463</v>
      </c>
      <c r="E57" s="616"/>
      <c r="F57" s="617" t="s">
        <v>464</v>
      </c>
      <c r="G57" s="618"/>
      <c r="H57" s="619"/>
    </row>
    <row r="58" spans="1:9" ht="13.5" customHeight="1">
      <c r="A58" s="538"/>
      <c r="B58" s="539"/>
      <c r="C58" s="637" t="s">
        <v>465</v>
      </c>
      <c r="D58" s="638" t="s">
        <v>466</v>
      </c>
      <c r="E58" s="639"/>
      <c r="F58" s="640" t="s">
        <v>467</v>
      </c>
      <c r="G58" s="641"/>
      <c r="H58" s="642"/>
    </row>
    <row r="59" spans="1:9" ht="13.5" customHeight="1">
      <c r="A59" s="538"/>
      <c r="B59" s="539"/>
      <c r="C59" s="643"/>
      <c r="D59" s="644"/>
      <c r="E59" s="645"/>
      <c r="F59" s="646"/>
      <c r="G59" s="647" t="s">
        <v>397</v>
      </c>
      <c r="H59" s="648" t="s">
        <v>457</v>
      </c>
    </row>
    <row r="60" spans="1:9" ht="13.5" customHeight="1">
      <c r="A60" s="538"/>
      <c r="B60" s="539"/>
      <c r="C60" s="649"/>
      <c r="D60" s="650"/>
      <c r="E60" s="651"/>
      <c r="F60" s="652"/>
      <c r="G60" s="606" t="s">
        <v>400</v>
      </c>
      <c r="H60" s="653"/>
    </row>
    <row r="61" spans="1:9" ht="13.5" customHeight="1">
      <c r="A61" s="538"/>
      <c r="B61" s="539"/>
      <c r="C61" s="654" t="s">
        <v>468</v>
      </c>
      <c r="D61" s="654"/>
      <c r="E61" s="655"/>
      <c r="F61" s="656"/>
      <c r="G61" s="657"/>
      <c r="H61" s="553"/>
    </row>
    <row r="62" spans="1:9" ht="13.5" customHeight="1">
      <c r="A62" s="538"/>
      <c r="B62" s="539"/>
      <c r="C62" s="614" t="s">
        <v>462</v>
      </c>
      <c r="D62" s="615" t="s">
        <v>463</v>
      </c>
      <c r="E62" s="616">
        <v>15</v>
      </c>
      <c r="F62" s="617" t="s">
        <v>469</v>
      </c>
      <c r="G62" s="618">
        <f t="shared" ref="G62:G73" si="2">SUM(H62:I62)</f>
        <v>0</v>
      </c>
      <c r="H62" s="619"/>
    </row>
    <row r="63" spans="1:9" ht="13.5" customHeight="1">
      <c r="A63" s="538"/>
      <c r="B63" s="539"/>
      <c r="C63" s="614" t="s">
        <v>465</v>
      </c>
      <c r="D63" s="615" t="s">
        <v>463</v>
      </c>
      <c r="E63" s="616">
        <v>10</v>
      </c>
      <c r="F63" s="617" t="s">
        <v>470</v>
      </c>
      <c r="G63" s="618">
        <f t="shared" si="2"/>
        <v>0</v>
      </c>
      <c r="H63" s="619"/>
    </row>
    <row r="64" spans="1:9" ht="13.5" customHeight="1">
      <c r="A64" s="538"/>
      <c r="B64" s="539"/>
      <c r="C64" s="614" t="s">
        <v>471</v>
      </c>
      <c r="D64" s="615" t="s">
        <v>463</v>
      </c>
      <c r="E64" s="616">
        <v>3</v>
      </c>
      <c r="F64" s="621" t="s">
        <v>472</v>
      </c>
      <c r="G64" s="622">
        <f t="shared" si="2"/>
        <v>0</v>
      </c>
      <c r="H64" s="619"/>
    </row>
    <row r="65" spans="1:9" ht="13.5" customHeight="1">
      <c r="A65" s="538"/>
      <c r="B65" s="539"/>
      <c r="C65" s="614" t="s">
        <v>473</v>
      </c>
      <c r="D65" s="615" t="s">
        <v>474</v>
      </c>
      <c r="E65" s="616">
        <v>30</v>
      </c>
      <c r="F65" s="621" t="s">
        <v>475</v>
      </c>
      <c r="G65" s="622">
        <f t="shared" si="2"/>
        <v>0</v>
      </c>
      <c r="H65" s="619"/>
    </row>
    <row r="66" spans="1:9" ht="13.5" customHeight="1">
      <c r="A66" s="538"/>
      <c r="B66" s="539"/>
      <c r="C66" s="614" t="s">
        <v>476</v>
      </c>
      <c r="D66" s="615" t="s">
        <v>477</v>
      </c>
      <c r="E66" s="616">
        <v>60</v>
      </c>
      <c r="F66" s="621" t="s">
        <v>475</v>
      </c>
      <c r="G66" s="622">
        <f t="shared" si="2"/>
        <v>0</v>
      </c>
      <c r="H66" s="619"/>
    </row>
    <row r="67" spans="1:9" ht="13.5" customHeight="1">
      <c r="A67" s="538"/>
      <c r="B67" s="539"/>
      <c r="C67" s="614" t="s">
        <v>478</v>
      </c>
      <c r="D67" s="615" t="s">
        <v>479</v>
      </c>
      <c r="E67" s="616">
        <v>15</v>
      </c>
      <c r="F67" s="621" t="s">
        <v>480</v>
      </c>
      <c r="G67" s="622">
        <f t="shared" si="2"/>
        <v>0</v>
      </c>
      <c r="H67" s="619"/>
    </row>
    <row r="68" spans="1:9" ht="13.5" customHeight="1">
      <c r="A68" s="538"/>
      <c r="B68" s="539"/>
      <c r="C68" s="614" t="s">
        <v>481</v>
      </c>
      <c r="D68" s="615" t="s">
        <v>477</v>
      </c>
      <c r="E68" s="616">
        <v>40</v>
      </c>
      <c r="F68" s="621" t="s">
        <v>480</v>
      </c>
      <c r="G68" s="622">
        <f t="shared" si="2"/>
        <v>0</v>
      </c>
      <c r="H68" s="619"/>
    </row>
    <row r="69" spans="1:9" ht="13.5" customHeight="1">
      <c r="A69" s="538"/>
      <c r="B69" s="539"/>
      <c r="C69" s="614" t="s">
        <v>482</v>
      </c>
      <c r="D69" s="615" t="s">
        <v>479</v>
      </c>
      <c r="E69" s="616">
        <v>10</v>
      </c>
      <c r="F69" s="621" t="s">
        <v>483</v>
      </c>
      <c r="G69" s="622">
        <f t="shared" si="2"/>
        <v>0</v>
      </c>
      <c r="H69" s="619"/>
    </row>
    <row r="70" spans="1:9" ht="13.5" customHeight="1">
      <c r="A70" s="538"/>
      <c r="B70" s="539"/>
      <c r="C70" s="614" t="s">
        <v>484</v>
      </c>
      <c r="D70" s="615" t="s">
        <v>477</v>
      </c>
      <c r="E70" s="616">
        <v>45</v>
      </c>
      <c r="F70" s="621" t="s">
        <v>483</v>
      </c>
      <c r="G70" s="622">
        <f t="shared" si="2"/>
        <v>0</v>
      </c>
      <c r="H70" s="619"/>
    </row>
    <row r="71" spans="1:9" ht="13.5" customHeight="1">
      <c r="A71" s="538"/>
      <c r="B71" s="539"/>
      <c r="C71" s="614" t="s">
        <v>485</v>
      </c>
      <c r="D71" s="615" t="s">
        <v>479</v>
      </c>
      <c r="E71" s="616">
        <v>10</v>
      </c>
      <c r="F71" s="621" t="s">
        <v>486</v>
      </c>
      <c r="G71" s="622">
        <f t="shared" si="2"/>
        <v>0</v>
      </c>
      <c r="H71" s="619"/>
    </row>
    <row r="72" spans="1:9" ht="13.5" customHeight="1">
      <c r="A72" s="538"/>
      <c r="B72" s="539"/>
      <c r="C72" s="614" t="s">
        <v>487</v>
      </c>
      <c r="D72" s="615" t="s">
        <v>477</v>
      </c>
      <c r="E72" s="616">
        <v>15</v>
      </c>
      <c r="F72" s="621" t="s">
        <v>486</v>
      </c>
      <c r="G72" s="622">
        <f t="shared" si="2"/>
        <v>0</v>
      </c>
      <c r="H72" s="619"/>
    </row>
    <row r="73" spans="1:9" ht="13.5" customHeight="1">
      <c r="A73" s="630"/>
      <c r="B73" s="631"/>
      <c r="C73" s="631"/>
      <c r="D73" s="631"/>
      <c r="E73" s="632"/>
      <c r="F73" s="633" t="s">
        <v>488</v>
      </c>
      <c r="G73" s="634">
        <f t="shared" si="2"/>
        <v>0</v>
      </c>
      <c r="H73" s="635">
        <f>IF(H$4="費用",0,SUM(H56,H62:H72))</f>
        <v>0</v>
      </c>
    </row>
    <row r="74" spans="1:9" ht="13.5" customHeight="1">
      <c r="A74" s="539"/>
      <c r="B74" s="608"/>
      <c r="C74" s="608"/>
      <c r="D74" s="608"/>
      <c r="E74" s="608"/>
      <c r="F74" s="658"/>
      <c r="G74" s="659"/>
      <c r="H74" s="660"/>
    </row>
    <row r="75" spans="1:9" ht="13.5" customHeight="1">
      <c r="A75" s="649"/>
      <c r="B75" s="591"/>
      <c r="C75" s="591"/>
      <c r="D75" s="591"/>
      <c r="E75" s="591"/>
      <c r="F75" s="661"/>
      <c r="G75" s="662"/>
      <c r="H75" s="663"/>
    </row>
    <row r="76" spans="1:9" s="587" customFormat="1" ht="13.5" customHeight="1">
      <c r="A76" s="664" t="s">
        <v>489</v>
      </c>
      <c r="B76" s="599"/>
      <c r="C76" s="600"/>
      <c r="D76" s="599"/>
      <c r="E76" s="2727" t="s">
        <v>396</v>
      </c>
      <c r="F76" s="601"/>
      <c r="G76" s="602" t="s">
        <v>397</v>
      </c>
      <c r="H76" s="603" t="s">
        <v>490</v>
      </c>
      <c r="I76" s="596"/>
    </row>
    <row r="77" spans="1:9" s="587" customFormat="1" ht="13.5" customHeight="1">
      <c r="A77" s="604"/>
      <c r="B77" s="2729" t="s">
        <v>491</v>
      </c>
      <c r="C77" s="2730"/>
      <c r="D77" s="2731"/>
      <c r="E77" s="2728"/>
      <c r="F77" s="605"/>
      <c r="G77" s="606" t="s">
        <v>459</v>
      </c>
      <c r="H77" s="636" t="s">
        <v>492</v>
      </c>
      <c r="I77" s="596"/>
    </row>
    <row r="78" spans="1:9" ht="13.5" customHeight="1">
      <c r="A78" s="538"/>
      <c r="B78" s="608"/>
      <c r="C78" s="665" t="s">
        <v>493</v>
      </c>
      <c r="D78" s="610"/>
      <c r="E78" s="611">
        <v>10</v>
      </c>
      <c r="F78" s="666" t="s">
        <v>494</v>
      </c>
      <c r="G78" s="613" t="e">
        <f ca="1">SUM(H78:I78)</f>
        <v>#REF!</v>
      </c>
      <c r="H78" s="623" t="e">
        <f ca="1">SUM(H79:H83)</f>
        <v>#REF!</v>
      </c>
    </row>
    <row r="79" spans="1:9" ht="13.5" customHeight="1">
      <c r="A79" s="538"/>
      <c r="B79" s="539"/>
      <c r="C79" s="614" t="s">
        <v>495</v>
      </c>
      <c r="D79" s="615" t="s">
        <v>496</v>
      </c>
      <c r="E79" s="616"/>
      <c r="F79" s="667" t="s">
        <v>497</v>
      </c>
      <c r="G79" s="622"/>
      <c r="H79" s="623" t="e">
        <f ca="1">SUMIF(INDIRECT(H$3&amp;"!$ｎ:$ｎ"),"電照サイン（金属製）",INDIRECT(H$3&amp;"!$i:$i"))</f>
        <v>#REF!</v>
      </c>
    </row>
    <row r="80" spans="1:9" ht="13.5" customHeight="1">
      <c r="A80" s="538"/>
      <c r="B80" s="539"/>
      <c r="C80" s="614" t="s">
        <v>465</v>
      </c>
      <c r="D80" s="615" t="s">
        <v>498</v>
      </c>
      <c r="E80" s="616"/>
      <c r="F80" s="667"/>
      <c r="G80" s="622"/>
      <c r="H80" s="623" t="e">
        <f ca="1">SUMIF(INDIRECT(H$3&amp;"!$ｎ:$ｎ"),"非電照サイン（金属製）",INDIRECT(H$3&amp;"!$i:$i"))</f>
        <v>#REF!</v>
      </c>
    </row>
    <row r="81" spans="1:8" ht="13.5" customHeight="1">
      <c r="A81" s="538"/>
      <c r="B81" s="539"/>
      <c r="C81" s="614" t="s">
        <v>471</v>
      </c>
      <c r="D81" s="615" t="s">
        <v>499</v>
      </c>
      <c r="E81" s="616"/>
      <c r="F81" s="667"/>
      <c r="G81" s="622"/>
      <c r="H81" s="623" t="e">
        <f ca="1">SUMIF(INDIRECT(H$3&amp;"!$ｎ:$ｎ"),"電照広告（金属製）",INDIRECT(H$3&amp;"!$i:$i"))</f>
        <v>#REF!</v>
      </c>
    </row>
    <row r="82" spans="1:8" s="532" customFormat="1" ht="13.5" customHeight="1">
      <c r="A82" s="538"/>
      <c r="B82" s="539"/>
      <c r="C82" s="614" t="s">
        <v>473</v>
      </c>
      <c r="D82" s="615" t="s">
        <v>500</v>
      </c>
      <c r="E82" s="668"/>
      <c r="F82" s="669"/>
      <c r="G82" s="622"/>
      <c r="H82" s="623" t="e">
        <f ca="1">SUMIF(INDIRECT(H$3&amp;"!$ｎ:$ｎ"),"非電照広告（金属製）",INDIRECT(H$3&amp;"!$i:$i"))</f>
        <v>#REF!</v>
      </c>
    </row>
    <row r="83" spans="1:8" s="532" customFormat="1" ht="13.5" customHeight="1">
      <c r="A83" s="538"/>
      <c r="B83" s="539"/>
      <c r="C83" s="614" t="s">
        <v>476</v>
      </c>
      <c r="D83" s="670" t="s">
        <v>501</v>
      </c>
      <c r="E83" s="668"/>
      <c r="F83" s="669"/>
      <c r="G83" s="622"/>
      <c r="H83" s="623" t="e">
        <f ca="1">SUMIF(INDIRECT(H$3&amp;"!$ｎ:$ｎ"),"電気設備",INDIRECT(H$3&amp;"!$i:$i"))</f>
        <v>#REF!</v>
      </c>
    </row>
    <row r="84" spans="1:8" ht="13.5" customHeight="1">
      <c r="A84" s="538"/>
      <c r="B84" s="539"/>
      <c r="C84" s="671" t="s">
        <v>502</v>
      </c>
      <c r="D84" s="615"/>
      <c r="E84" s="616">
        <v>5</v>
      </c>
      <c r="F84" s="667" t="s">
        <v>503</v>
      </c>
      <c r="G84" s="618" t="e">
        <f ca="1">SUM(H84:I84)</f>
        <v>#REF!</v>
      </c>
      <c r="H84" s="623" t="e">
        <f ca="1">SUM(H85:H86)</f>
        <v>#REF!</v>
      </c>
    </row>
    <row r="85" spans="1:8" ht="13.5" customHeight="1">
      <c r="A85" s="538"/>
      <c r="B85" s="539"/>
      <c r="C85" s="614" t="s">
        <v>495</v>
      </c>
      <c r="D85" s="615" t="s">
        <v>498</v>
      </c>
      <c r="E85" s="616"/>
      <c r="F85" s="667" t="s">
        <v>504</v>
      </c>
      <c r="G85" s="622"/>
      <c r="H85" s="623" t="e">
        <f ca="1">SUMIF(INDIRECT(H$3&amp;"!$ｎ:$ｎ"),"非電照サイン（その他）",INDIRECT(H$3&amp;"!$i:$i"))</f>
        <v>#REF!</v>
      </c>
    </row>
    <row r="86" spans="1:8" ht="13.5" customHeight="1">
      <c r="A86" s="538"/>
      <c r="B86" s="539"/>
      <c r="C86" s="614" t="s">
        <v>465</v>
      </c>
      <c r="D86" s="615" t="s">
        <v>505</v>
      </c>
      <c r="E86" s="616"/>
      <c r="F86" s="667"/>
      <c r="G86" s="622"/>
      <c r="H86" s="623" t="e">
        <f ca="1">SUMIF(INDIRECT(H$3&amp;"!$ｎ:$ｎ"),"非電照広告（その他）",INDIRECT(H$3&amp;"!$i:$i"))</f>
        <v>#REF!</v>
      </c>
    </row>
    <row r="87" spans="1:8" ht="13.5" customHeight="1">
      <c r="A87" s="538"/>
      <c r="B87" s="539"/>
      <c r="C87" s="672" t="s">
        <v>506</v>
      </c>
      <c r="D87" s="615" t="s">
        <v>507</v>
      </c>
      <c r="E87" s="616">
        <v>5</v>
      </c>
      <c r="F87" s="667"/>
      <c r="G87" s="622" t="e">
        <f t="shared" ref="G87:G92" ca="1" si="3">SUM(H87:I87)</f>
        <v>#REF!</v>
      </c>
      <c r="H87" s="623" t="e">
        <f ca="1">SUMIF(INDIRECT(H$3&amp;"!$ｎ:$ｎ"),"無人駐車管理装置",INDIRECT(H$3&amp;"!$i:$i"))</f>
        <v>#REF!</v>
      </c>
    </row>
    <row r="88" spans="1:8" ht="13.5" customHeight="1">
      <c r="A88" s="538"/>
      <c r="B88" s="539"/>
      <c r="C88" s="672" t="s">
        <v>508</v>
      </c>
      <c r="D88" s="615" t="s">
        <v>509</v>
      </c>
      <c r="E88" s="616">
        <v>10</v>
      </c>
      <c r="F88" s="667"/>
      <c r="G88" s="622" t="e">
        <f t="shared" ca="1" si="3"/>
        <v>#REF!</v>
      </c>
      <c r="H88" s="623" t="e">
        <f ca="1">SUMIF(INDIRECT(H$3&amp;"!$ｎ:$ｎ"),"その他（金造製）",INDIRECT(H$3&amp;"!$i:$i"))</f>
        <v>#REF!</v>
      </c>
    </row>
    <row r="89" spans="1:8" ht="13.5" customHeight="1">
      <c r="A89" s="538"/>
      <c r="B89" s="539"/>
      <c r="C89" s="672" t="s">
        <v>510</v>
      </c>
      <c r="D89" s="615" t="s">
        <v>511</v>
      </c>
      <c r="E89" s="616">
        <v>5</v>
      </c>
      <c r="F89" s="667"/>
      <c r="G89" s="622" t="e">
        <f t="shared" ca="1" si="3"/>
        <v>#REF!</v>
      </c>
      <c r="H89" s="623" t="e">
        <f ca="1">SUMIF(INDIRECT(H$3&amp;"!$ｎ:$ｎ"),"その他（その他）",INDIRECT(H$3&amp;"!$i:$i"))</f>
        <v>#REF!</v>
      </c>
    </row>
    <row r="90" spans="1:8" ht="13.5" customHeight="1">
      <c r="A90" s="538"/>
      <c r="B90" s="539"/>
      <c r="C90" s="673"/>
      <c r="D90" s="626"/>
      <c r="E90" s="674"/>
      <c r="F90" s="675"/>
      <c r="G90" s="676">
        <f t="shared" si="3"/>
        <v>0</v>
      </c>
      <c r="H90" s="619"/>
    </row>
    <row r="91" spans="1:8" ht="13.5" customHeight="1" thickBot="1">
      <c r="A91" s="677"/>
      <c r="B91" s="678"/>
      <c r="C91" s="678"/>
      <c r="D91" s="678"/>
      <c r="E91" s="678"/>
      <c r="F91" s="679" t="s">
        <v>512</v>
      </c>
      <c r="G91" s="680" t="e">
        <f t="shared" ca="1" si="3"/>
        <v>#REF!</v>
      </c>
      <c r="H91" s="681" t="e">
        <f ca="1">IF(H4="費用",0,SUM(H78,H84,H87:H90))</f>
        <v>#REF!</v>
      </c>
    </row>
    <row r="92" spans="1:8" ht="13.5" customHeight="1" thickTop="1">
      <c r="A92" s="682"/>
      <c r="B92" s="683"/>
      <c r="C92" s="683"/>
      <c r="D92" s="683"/>
      <c r="E92" s="683"/>
      <c r="F92" s="684" t="s">
        <v>513</v>
      </c>
      <c r="G92" s="685" t="e">
        <f t="shared" ca="1" si="3"/>
        <v>#REF!</v>
      </c>
      <c r="H92" s="686" t="e">
        <f ca="1">+H91+H53+H73</f>
        <v>#REF!</v>
      </c>
    </row>
    <row r="93" spans="1:8" ht="13.5" customHeight="1">
      <c r="A93" s="539"/>
      <c r="B93" s="608"/>
      <c r="C93" s="608"/>
      <c r="D93" s="608"/>
      <c r="E93" s="608"/>
      <c r="F93" s="658"/>
      <c r="G93" s="687"/>
      <c r="H93" s="660"/>
    </row>
    <row r="94" spans="1:8" ht="13.5" customHeight="1">
      <c r="A94" s="528"/>
      <c r="B94" s="530" t="s">
        <v>380</v>
      </c>
      <c r="C94" s="529"/>
      <c r="D94" s="529"/>
      <c r="E94" s="529"/>
      <c r="F94" s="2723" t="s">
        <v>2493</v>
      </c>
      <c r="G94" s="2723"/>
      <c r="H94" s="2724"/>
    </row>
    <row r="95" spans="1:8" ht="13.5" customHeight="1">
      <c r="A95" s="688"/>
      <c r="C95" s="689"/>
      <c r="D95" s="531"/>
      <c r="E95" s="529" t="s">
        <v>514</v>
      </c>
      <c r="F95" s="529"/>
      <c r="G95" s="529" t="s">
        <v>515</v>
      </c>
      <c r="H95" s="690">
        <f>H3</f>
        <v>0</v>
      </c>
    </row>
    <row r="96" spans="1:8" s="532" customFormat="1" ht="13.5" customHeight="1">
      <c r="A96" s="691"/>
      <c r="B96" s="692"/>
      <c r="C96" s="693">
        <v>10500701</v>
      </c>
      <c r="D96" s="694" t="s">
        <v>516</v>
      </c>
      <c r="E96" s="695"/>
      <c r="F96" s="696"/>
      <c r="G96" s="697" t="e">
        <f t="shared" ref="G96:G159" ca="1" si="4">SUM(H96:I96)</f>
        <v>#REF!</v>
      </c>
      <c r="H96" s="571" t="e">
        <f ca="1">IF(H$26="007停車場建物",ROUND((H27+H27/(H$5-H$6)*H$6+H27/(H$5-H$6)*H$15)*$D$4,-3),"")</f>
        <v>#REF!</v>
      </c>
    </row>
    <row r="97" spans="1:8" s="532" customFormat="1" ht="13.5" customHeight="1">
      <c r="A97" s="698"/>
      <c r="B97" s="699"/>
      <c r="C97" s="700">
        <v>10500702</v>
      </c>
      <c r="D97" s="701" t="s">
        <v>517</v>
      </c>
      <c r="E97" s="702"/>
      <c r="F97" s="703"/>
      <c r="G97" s="622" t="e">
        <f t="shared" ca="1" si="4"/>
        <v>#REF!</v>
      </c>
      <c r="H97" s="623" t="e">
        <f t="shared" ref="H97:H120" ca="1" si="5">IF(H$26="007停車場建物",ROUND((H28+H28/(H$5-H$6)*H$6+H28/(H$5-H$6)*H$15)*$D$4,-3),"")</f>
        <v>#REF!</v>
      </c>
    </row>
    <row r="98" spans="1:8" ht="13.5" customHeight="1">
      <c r="A98" s="704"/>
      <c r="B98" s="705"/>
      <c r="C98" s="706">
        <v>10500703</v>
      </c>
      <c r="D98" s="707" t="s">
        <v>518</v>
      </c>
      <c r="E98" s="708"/>
      <c r="F98" s="709"/>
      <c r="G98" s="618" t="e">
        <f t="shared" ca="1" si="4"/>
        <v>#REF!</v>
      </c>
      <c r="H98" s="623" t="e">
        <f t="shared" ca="1" si="5"/>
        <v>#REF!</v>
      </c>
    </row>
    <row r="99" spans="1:8" ht="13.5" customHeight="1">
      <c r="A99" s="704"/>
      <c r="B99" s="705"/>
      <c r="C99" s="706">
        <v>10500704</v>
      </c>
      <c r="D99" s="707" t="s">
        <v>519</v>
      </c>
      <c r="E99" s="708"/>
      <c r="F99" s="709"/>
      <c r="G99" s="618" t="e">
        <f t="shared" ca="1" si="4"/>
        <v>#REF!</v>
      </c>
      <c r="H99" s="623" t="e">
        <f t="shared" ca="1" si="5"/>
        <v>#REF!</v>
      </c>
    </row>
    <row r="100" spans="1:8" ht="13.5" customHeight="1">
      <c r="A100" s="704"/>
      <c r="B100" s="705"/>
      <c r="C100" s="706">
        <v>10500705</v>
      </c>
      <c r="D100" s="707" t="s">
        <v>520</v>
      </c>
      <c r="E100" s="708"/>
      <c r="F100" s="709"/>
      <c r="G100" s="618" t="e">
        <f t="shared" ca="1" si="4"/>
        <v>#REF!</v>
      </c>
      <c r="H100" s="623" t="e">
        <f t="shared" ca="1" si="5"/>
        <v>#REF!</v>
      </c>
    </row>
    <row r="101" spans="1:8" ht="13.5" customHeight="1">
      <c r="A101" s="704"/>
      <c r="B101" s="705"/>
      <c r="C101" s="706">
        <v>10500706</v>
      </c>
      <c r="D101" s="707" t="s">
        <v>521</v>
      </c>
      <c r="E101" s="708"/>
      <c r="F101" s="709"/>
      <c r="G101" s="618" t="e">
        <f t="shared" ca="1" si="4"/>
        <v>#REF!</v>
      </c>
      <c r="H101" s="623" t="e">
        <f t="shared" ca="1" si="5"/>
        <v>#REF!</v>
      </c>
    </row>
    <row r="102" spans="1:8" ht="13.5" customHeight="1">
      <c r="A102" s="704"/>
      <c r="B102" s="705"/>
      <c r="C102" s="706">
        <v>10500707</v>
      </c>
      <c r="D102" s="707" t="s">
        <v>522</v>
      </c>
      <c r="E102" s="708"/>
      <c r="F102" s="709"/>
      <c r="G102" s="618" t="e">
        <f t="shared" ca="1" si="4"/>
        <v>#REF!</v>
      </c>
      <c r="H102" s="623" t="e">
        <f t="shared" ca="1" si="5"/>
        <v>#REF!</v>
      </c>
    </row>
    <row r="103" spans="1:8" ht="13.5" customHeight="1">
      <c r="A103" s="704"/>
      <c r="B103" s="705"/>
      <c r="C103" s="706">
        <v>10500708</v>
      </c>
      <c r="D103" s="707" t="s">
        <v>523</v>
      </c>
      <c r="E103" s="708"/>
      <c r="F103" s="709"/>
      <c r="G103" s="618" t="e">
        <f t="shared" ca="1" si="4"/>
        <v>#REF!</v>
      </c>
      <c r="H103" s="623" t="e">
        <f t="shared" ca="1" si="5"/>
        <v>#REF!</v>
      </c>
    </row>
    <row r="104" spans="1:8" ht="13.5" customHeight="1">
      <c r="A104" s="704"/>
      <c r="B104" s="705"/>
      <c r="C104" s="706">
        <v>10500709</v>
      </c>
      <c r="D104" s="707" t="s">
        <v>524</v>
      </c>
      <c r="E104" s="708"/>
      <c r="F104" s="709"/>
      <c r="G104" s="618" t="e">
        <f t="shared" ca="1" si="4"/>
        <v>#REF!</v>
      </c>
      <c r="H104" s="623" t="e">
        <f t="shared" ca="1" si="5"/>
        <v>#REF!</v>
      </c>
    </row>
    <row r="105" spans="1:8" ht="13.5" customHeight="1">
      <c r="A105" s="704"/>
      <c r="B105" s="705"/>
      <c r="C105" s="706">
        <v>10500710</v>
      </c>
      <c r="D105" s="707" t="s">
        <v>525</v>
      </c>
      <c r="E105" s="708"/>
      <c r="F105" s="709"/>
      <c r="G105" s="618" t="e">
        <f t="shared" ca="1" si="4"/>
        <v>#REF!</v>
      </c>
      <c r="H105" s="623" t="e">
        <f t="shared" ca="1" si="5"/>
        <v>#REF!</v>
      </c>
    </row>
    <row r="106" spans="1:8" ht="13.5" customHeight="1">
      <c r="A106" s="704"/>
      <c r="B106" s="705"/>
      <c r="C106" s="706">
        <v>10500711</v>
      </c>
      <c r="D106" s="707" t="s">
        <v>526</v>
      </c>
      <c r="E106" s="708"/>
      <c r="F106" s="709"/>
      <c r="G106" s="618" t="e">
        <f t="shared" ca="1" si="4"/>
        <v>#REF!</v>
      </c>
      <c r="H106" s="623" t="e">
        <f t="shared" ca="1" si="5"/>
        <v>#REF!</v>
      </c>
    </row>
    <row r="107" spans="1:8" ht="13.5" customHeight="1">
      <c r="A107" s="704"/>
      <c r="B107" s="705"/>
      <c r="C107" s="706">
        <v>10500712</v>
      </c>
      <c r="D107" s="707" t="s">
        <v>527</v>
      </c>
      <c r="E107" s="708"/>
      <c r="F107" s="709"/>
      <c r="G107" s="618" t="e">
        <f t="shared" ca="1" si="4"/>
        <v>#REF!</v>
      </c>
      <c r="H107" s="623" t="e">
        <f t="shared" ca="1" si="5"/>
        <v>#REF!</v>
      </c>
    </row>
    <row r="108" spans="1:8" ht="13.5" customHeight="1">
      <c r="A108" s="704"/>
      <c r="B108" s="705"/>
      <c r="C108" s="706">
        <v>10500713</v>
      </c>
      <c r="D108" s="707" t="s">
        <v>528</v>
      </c>
      <c r="E108" s="708"/>
      <c r="F108" s="709"/>
      <c r="G108" s="618" t="e">
        <f t="shared" ca="1" si="4"/>
        <v>#REF!</v>
      </c>
      <c r="H108" s="623" t="e">
        <f t="shared" ca="1" si="5"/>
        <v>#REF!</v>
      </c>
    </row>
    <row r="109" spans="1:8" ht="13.5" customHeight="1">
      <c r="A109" s="704"/>
      <c r="B109" s="705"/>
      <c r="C109" s="706">
        <v>10500714</v>
      </c>
      <c r="D109" s="707" t="s">
        <v>529</v>
      </c>
      <c r="E109" s="708"/>
      <c r="F109" s="709"/>
      <c r="G109" s="618" t="e">
        <f t="shared" ca="1" si="4"/>
        <v>#REF!</v>
      </c>
      <c r="H109" s="623" t="e">
        <f t="shared" ca="1" si="5"/>
        <v>#REF!</v>
      </c>
    </row>
    <row r="110" spans="1:8" ht="13.5" customHeight="1">
      <c r="A110" s="704"/>
      <c r="B110" s="705"/>
      <c r="C110" s="706">
        <v>10500715</v>
      </c>
      <c r="D110" s="707" t="s">
        <v>530</v>
      </c>
      <c r="E110" s="708"/>
      <c r="F110" s="709"/>
      <c r="G110" s="618" t="e">
        <f t="shared" ca="1" si="4"/>
        <v>#REF!</v>
      </c>
      <c r="H110" s="623" t="e">
        <f t="shared" ca="1" si="5"/>
        <v>#REF!</v>
      </c>
    </row>
    <row r="111" spans="1:8" ht="13.5" customHeight="1">
      <c r="A111" s="704"/>
      <c r="B111" s="705"/>
      <c r="C111" s="706">
        <v>10500716</v>
      </c>
      <c r="D111" s="707" t="s">
        <v>531</v>
      </c>
      <c r="E111" s="708"/>
      <c r="F111" s="709"/>
      <c r="G111" s="618" t="e">
        <f t="shared" ca="1" si="4"/>
        <v>#REF!</v>
      </c>
      <c r="H111" s="623" t="e">
        <f t="shared" ca="1" si="5"/>
        <v>#REF!</v>
      </c>
    </row>
    <row r="112" spans="1:8" ht="13.5" customHeight="1">
      <c r="A112" s="704"/>
      <c r="B112" s="705"/>
      <c r="C112" s="706">
        <v>10500717</v>
      </c>
      <c r="D112" s="707" t="s">
        <v>532</v>
      </c>
      <c r="E112" s="708"/>
      <c r="F112" s="709"/>
      <c r="G112" s="618" t="e">
        <f t="shared" ca="1" si="4"/>
        <v>#REF!</v>
      </c>
      <c r="H112" s="623" t="e">
        <f t="shared" ca="1" si="5"/>
        <v>#REF!</v>
      </c>
    </row>
    <row r="113" spans="1:8" ht="13.5" customHeight="1">
      <c r="A113" s="704"/>
      <c r="B113" s="705"/>
      <c r="C113" s="706">
        <v>10500718</v>
      </c>
      <c r="D113" s="707" t="s">
        <v>533</v>
      </c>
      <c r="E113" s="708"/>
      <c r="F113" s="709"/>
      <c r="G113" s="618" t="e">
        <f t="shared" ca="1" si="4"/>
        <v>#REF!</v>
      </c>
      <c r="H113" s="623" t="e">
        <f t="shared" ca="1" si="5"/>
        <v>#REF!</v>
      </c>
    </row>
    <row r="114" spans="1:8" ht="13.5" customHeight="1">
      <c r="A114" s="704"/>
      <c r="B114" s="705"/>
      <c r="C114" s="706">
        <v>10500719</v>
      </c>
      <c r="D114" s="707" t="s">
        <v>534</v>
      </c>
      <c r="E114" s="708"/>
      <c r="F114" s="709"/>
      <c r="G114" s="618" t="e">
        <f t="shared" ca="1" si="4"/>
        <v>#REF!</v>
      </c>
      <c r="H114" s="623" t="e">
        <f t="shared" ca="1" si="5"/>
        <v>#REF!</v>
      </c>
    </row>
    <row r="115" spans="1:8" ht="13.5" customHeight="1">
      <c r="A115" s="704"/>
      <c r="B115" s="705"/>
      <c r="C115" s="706">
        <v>10500720</v>
      </c>
      <c r="D115" s="707" t="s">
        <v>535</v>
      </c>
      <c r="E115" s="708"/>
      <c r="F115" s="709"/>
      <c r="G115" s="618" t="e">
        <f t="shared" ca="1" si="4"/>
        <v>#REF!</v>
      </c>
      <c r="H115" s="623" t="e">
        <f t="shared" ca="1" si="5"/>
        <v>#REF!</v>
      </c>
    </row>
    <row r="116" spans="1:8" ht="13.5" customHeight="1">
      <c r="A116" s="704"/>
      <c r="B116" s="705"/>
      <c r="C116" s="706">
        <v>10500721</v>
      </c>
      <c r="D116" s="707" t="s">
        <v>536</v>
      </c>
      <c r="E116" s="708"/>
      <c r="F116" s="709"/>
      <c r="G116" s="618" t="e">
        <f t="shared" ca="1" si="4"/>
        <v>#REF!</v>
      </c>
      <c r="H116" s="623" t="e">
        <f t="shared" ca="1" si="5"/>
        <v>#REF!</v>
      </c>
    </row>
    <row r="117" spans="1:8" ht="13.5" customHeight="1">
      <c r="A117" s="704"/>
      <c r="B117" s="705"/>
      <c r="C117" s="706">
        <v>10500722</v>
      </c>
      <c r="D117" s="707" t="s">
        <v>537</v>
      </c>
      <c r="E117" s="708"/>
      <c r="F117" s="709"/>
      <c r="G117" s="618" t="e">
        <f t="shared" ca="1" si="4"/>
        <v>#REF!</v>
      </c>
      <c r="H117" s="623" t="e">
        <f t="shared" ca="1" si="5"/>
        <v>#REF!</v>
      </c>
    </row>
    <row r="118" spans="1:8" ht="13.5" customHeight="1">
      <c r="A118" s="704"/>
      <c r="B118" s="705"/>
      <c r="C118" s="706">
        <v>10500723</v>
      </c>
      <c r="D118" s="707" t="s">
        <v>538</v>
      </c>
      <c r="E118" s="708"/>
      <c r="F118" s="709"/>
      <c r="G118" s="618" t="e">
        <f t="shared" ca="1" si="4"/>
        <v>#REF!</v>
      </c>
      <c r="H118" s="623" t="e">
        <f t="shared" ca="1" si="5"/>
        <v>#REF!</v>
      </c>
    </row>
    <row r="119" spans="1:8" ht="13.5" customHeight="1">
      <c r="A119" s="704"/>
      <c r="B119" s="705"/>
      <c r="C119" s="706">
        <v>10500724</v>
      </c>
      <c r="D119" s="707" t="s">
        <v>539</v>
      </c>
      <c r="E119" s="708"/>
      <c r="F119" s="709"/>
      <c r="G119" s="618" t="e">
        <f t="shared" ca="1" si="4"/>
        <v>#REF!</v>
      </c>
      <c r="H119" s="623" t="e">
        <f t="shared" ca="1" si="5"/>
        <v>#REF!</v>
      </c>
    </row>
    <row r="120" spans="1:8" ht="13.5" customHeight="1">
      <c r="A120" s="704"/>
      <c r="B120" s="705"/>
      <c r="C120" s="706">
        <v>10500725</v>
      </c>
      <c r="D120" s="707" t="s">
        <v>540</v>
      </c>
      <c r="E120" s="708"/>
      <c r="F120" s="709"/>
      <c r="G120" s="618" t="e">
        <f t="shared" ca="1" si="4"/>
        <v>#REF!</v>
      </c>
      <c r="H120" s="623" t="e">
        <f t="shared" ca="1" si="5"/>
        <v>#REF!</v>
      </c>
    </row>
    <row r="121" spans="1:8" ht="13.5" customHeight="1">
      <c r="A121" s="704"/>
      <c r="B121" s="705"/>
      <c r="C121" s="711"/>
      <c r="D121" s="712"/>
      <c r="E121" s="713"/>
      <c r="F121" s="626"/>
      <c r="G121" s="815">
        <f t="shared" si="4"/>
        <v>0</v>
      </c>
      <c r="H121" s="715"/>
    </row>
    <row r="122" spans="1:8" ht="13.5" customHeight="1">
      <c r="A122" s="704"/>
      <c r="B122" s="705"/>
      <c r="C122" s="706">
        <v>10500801</v>
      </c>
      <c r="D122" s="707" t="s">
        <v>541</v>
      </c>
      <c r="E122" s="708"/>
      <c r="F122" s="709"/>
      <c r="G122" s="618">
        <f t="shared" si="4"/>
        <v>0</v>
      </c>
      <c r="H122" s="623" t="str">
        <f t="shared" ref="H122:H146" si="6">IF(H$26="008変電所建物",ROUND((H27+H27/(H$5-H$6)*H$6+H27/(H$5-H$6)*H$15)*$D$4,-3),"")</f>
        <v/>
      </c>
    </row>
    <row r="123" spans="1:8" ht="13.5" customHeight="1">
      <c r="A123" s="704"/>
      <c r="B123" s="705"/>
      <c r="C123" s="706">
        <v>10500802</v>
      </c>
      <c r="D123" s="707" t="s">
        <v>542</v>
      </c>
      <c r="E123" s="708"/>
      <c r="F123" s="709"/>
      <c r="G123" s="618">
        <f t="shared" si="4"/>
        <v>0</v>
      </c>
      <c r="H123" s="831" t="str">
        <f t="shared" si="6"/>
        <v/>
      </c>
    </row>
    <row r="124" spans="1:8" ht="13.5" customHeight="1">
      <c r="A124" s="704"/>
      <c r="B124" s="705"/>
      <c r="C124" s="706">
        <v>10500803</v>
      </c>
      <c r="D124" s="707" t="s">
        <v>543</v>
      </c>
      <c r="E124" s="708"/>
      <c r="F124" s="709"/>
      <c r="G124" s="618">
        <f t="shared" si="4"/>
        <v>0</v>
      </c>
      <c r="H124" s="831" t="str">
        <f t="shared" si="6"/>
        <v/>
      </c>
    </row>
    <row r="125" spans="1:8" ht="13.5" customHeight="1">
      <c r="A125" s="704"/>
      <c r="B125" s="705"/>
      <c r="C125" s="706">
        <v>10500804</v>
      </c>
      <c r="D125" s="707" t="s">
        <v>544</v>
      </c>
      <c r="E125" s="708"/>
      <c r="F125" s="709"/>
      <c r="G125" s="618">
        <f t="shared" si="4"/>
        <v>0</v>
      </c>
      <c r="H125" s="831" t="str">
        <f t="shared" si="6"/>
        <v/>
      </c>
    </row>
    <row r="126" spans="1:8" ht="13.5" customHeight="1">
      <c r="A126" s="704"/>
      <c r="B126" s="705"/>
      <c r="C126" s="706">
        <v>10500805</v>
      </c>
      <c r="D126" s="707" t="s">
        <v>545</v>
      </c>
      <c r="E126" s="708"/>
      <c r="F126" s="709"/>
      <c r="G126" s="618">
        <f t="shared" si="4"/>
        <v>0</v>
      </c>
      <c r="H126" s="831" t="str">
        <f t="shared" si="6"/>
        <v/>
      </c>
    </row>
    <row r="127" spans="1:8" ht="13.5" customHeight="1">
      <c r="A127" s="704"/>
      <c r="B127" s="705"/>
      <c r="C127" s="706">
        <v>10500806</v>
      </c>
      <c r="D127" s="707" t="s">
        <v>546</v>
      </c>
      <c r="E127" s="708"/>
      <c r="F127" s="709"/>
      <c r="G127" s="618">
        <f t="shared" si="4"/>
        <v>0</v>
      </c>
      <c r="H127" s="831" t="str">
        <f t="shared" si="6"/>
        <v/>
      </c>
    </row>
    <row r="128" spans="1:8" ht="13.5" customHeight="1">
      <c r="A128" s="704"/>
      <c r="B128" s="705"/>
      <c r="C128" s="706">
        <v>10500807</v>
      </c>
      <c r="D128" s="707" t="s">
        <v>547</v>
      </c>
      <c r="E128" s="708"/>
      <c r="F128" s="709"/>
      <c r="G128" s="618">
        <f t="shared" si="4"/>
        <v>0</v>
      </c>
      <c r="H128" s="831" t="str">
        <f t="shared" si="6"/>
        <v/>
      </c>
    </row>
    <row r="129" spans="1:8" ht="13.5" customHeight="1">
      <c r="A129" s="704"/>
      <c r="B129" s="705"/>
      <c r="C129" s="706">
        <v>10500808</v>
      </c>
      <c r="D129" s="707" t="s">
        <v>548</v>
      </c>
      <c r="E129" s="708"/>
      <c r="F129" s="709"/>
      <c r="G129" s="618">
        <f t="shared" si="4"/>
        <v>0</v>
      </c>
      <c r="H129" s="831" t="str">
        <f t="shared" si="6"/>
        <v/>
      </c>
    </row>
    <row r="130" spans="1:8" ht="13.5" customHeight="1">
      <c r="A130" s="704"/>
      <c r="B130" s="705"/>
      <c r="C130" s="706">
        <v>10500809</v>
      </c>
      <c r="D130" s="707" t="s">
        <v>549</v>
      </c>
      <c r="E130" s="708"/>
      <c r="F130" s="709"/>
      <c r="G130" s="618">
        <f t="shared" si="4"/>
        <v>0</v>
      </c>
      <c r="H130" s="831" t="str">
        <f t="shared" si="6"/>
        <v/>
      </c>
    </row>
    <row r="131" spans="1:8" ht="13.5" customHeight="1">
      <c r="A131" s="704"/>
      <c r="B131" s="705"/>
      <c r="C131" s="706">
        <v>10500810</v>
      </c>
      <c r="D131" s="707" t="s">
        <v>550</v>
      </c>
      <c r="E131" s="708"/>
      <c r="F131" s="709"/>
      <c r="G131" s="618">
        <f t="shared" si="4"/>
        <v>0</v>
      </c>
      <c r="H131" s="831" t="str">
        <f t="shared" si="6"/>
        <v/>
      </c>
    </row>
    <row r="132" spans="1:8" ht="13.5" customHeight="1">
      <c r="A132" s="704"/>
      <c r="B132" s="705"/>
      <c r="C132" s="706">
        <v>10500811</v>
      </c>
      <c r="D132" s="707" t="s">
        <v>551</v>
      </c>
      <c r="E132" s="708"/>
      <c r="F132" s="709"/>
      <c r="G132" s="618">
        <f t="shared" si="4"/>
        <v>0</v>
      </c>
      <c r="H132" s="831" t="str">
        <f t="shared" si="6"/>
        <v/>
      </c>
    </row>
    <row r="133" spans="1:8" ht="13.5" customHeight="1">
      <c r="A133" s="704"/>
      <c r="B133" s="705"/>
      <c r="C133" s="706">
        <v>10500812</v>
      </c>
      <c r="D133" s="707" t="s">
        <v>552</v>
      </c>
      <c r="E133" s="708"/>
      <c r="F133" s="709"/>
      <c r="G133" s="618">
        <f t="shared" si="4"/>
        <v>0</v>
      </c>
      <c r="H133" s="831" t="str">
        <f t="shared" si="6"/>
        <v/>
      </c>
    </row>
    <row r="134" spans="1:8" ht="13.5" customHeight="1">
      <c r="A134" s="704"/>
      <c r="B134" s="705"/>
      <c r="C134" s="706">
        <v>10500813</v>
      </c>
      <c r="D134" s="707" t="s">
        <v>553</v>
      </c>
      <c r="E134" s="708"/>
      <c r="F134" s="709"/>
      <c r="G134" s="618">
        <f t="shared" si="4"/>
        <v>0</v>
      </c>
      <c r="H134" s="831" t="str">
        <f t="shared" si="6"/>
        <v/>
      </c>
    </row>
    <row r="135" spans="1:8" ht="13.5" customHeight="1">
      <c r="A135" s="704"/>
      <c r="B135" s="705"/>
      <c r="C135" s="706">
        <v>10500814</v>
      </c>
      <c r="D135" s="707" t="s">
        <v>554</v>
      </c>
      <c r="E135" s="708"/>
      <c r="F135" s="709"/>
      <c r="G135" s="618">
        <f t="shared" si="4"/>
        <v>0</v>
      </c>
      <c r="H135" s="831" t="str">
        <f t="shared" si="6"/>
        <v/>
      </c>
    </row>
    <row r="136" spans="1:8" ht="13.5" customHeight="1">
      <c r="A136" s="704"/>
      <c r="B136" s="705"/>
      <c r="C136" s="706">
        <v>10500815</v>
      </c>
      <c r="D136" s="707" t="s">
        <v>555</v>
      </c>
      <c r="E136" s="708"/>
      <c r="F136" s="709"/>
      <c r="G136" s="618">
        <f t="shared" si="4"/>
        <v>0</v>
      </c>
      <c r="H136" s="831" t="str">
        <f t="shared" si="6"/>
        <v/>
      </c>
    </row>
    <row r="137" spans="1:8" ht="13.5" customHeight="1">
      <c r="A137" s="704"/>
      <c r="B137" s="705"/>
      <c r="C137" s="706">
        <v>10500816</v>
      </c>
      <c r="D137" s="707" t="s">
        <v>556</v>
      </c>
      <c r="E137" s="708"/>
      <c r="F137" s="709"/>
      <c r="G137" s="618">
        <f t="shared" si="4"/>
        <v>0</v>
      </c>
      <c r="H137" s="831" t="str">
        <f t="shared" si="6"/>
        <v/>
      </c>
    </row>
    <row r="138" spans="1:8" ht="13.5" customHeight="1">
      <c r="A138" s="704"/>
      <c r="B138" s="705"/>
      <c r="C138" s="706">
        <v>10500817</v>
      </c>
      <c r="D138" s="707" t="s">
        <v>557</v>
      </c>
      <c r="E138" s="708"/>
      <c r="F138" s="709"/>
      <c r="G138" s="618">
        <f t="shared" si="4"/>
        <v>0</v>
      </c>
      <c r="H138" s="831" t="str">
        <f t="shared" si="6"/>
        <v/>
      </c>
    </row>
    <row r="139" spans="1:8" ht="13.5" customHeight="1">
      <c r="A139" s="704"/>
      <c r="B139" s="705"/>
      <c r="C139" s="706">
        <v>10500818</v>
      </c>
      <c r="D139" s="707" t="s">
        <v>558</v>
      </c>
      <c r="E139" s="708"/>
      <c r="F139" s="709"/>
      <c r="G139" s="618">
        <f t="shared" si="4"/>
        <v>0</v>
      </c>
      <c r="H139" s="831" t="str">
        <f t="shared" si="6"/>
        <v/>
      </c>
    </row>
    <row r="140" spans="1:8" ht="13.5" customHeight="1">
      <c r="A140" s="704"/>
      <c r="B140" s="705"/>
      <c r="C140" s="706">
        <v>10500819</v>
      </c>
      <c r="D140" s="707" t="s">
        <v>559</v>
      </c>
      <c r="E140" s="708"/>
      <c r="F140" s="709"/>
      <c r="G140" s="618">
        <f t="shared" si="4"/>
        <v>0</v>
      </c>
      <c r="H140" s="831" t="str">
        <f t="shared" si="6"/>
        <v/>
      </c>
    </row>
    <row r="141" spans="1:8" ht="13.5" customHeight="1">
      <c r="A141" s="704"/>
      <c r="B141" s="705"/>
      <c r="C141" s="706">
        <v>10500820</v>
      </c>
      <c r="D141" s="707" t="s">
        <v>560</v>
      </c>
      <c r="E141" s="708"/>
      <c r="F141" s="709"/>
      <c r="G141" s="618">
        <f t="shared" si="4"/>
        <v>0</v>
      </c>
      <c r="H141" s="831" t="str">
        <f t="shared" si="6"/>
        <v/>
      </c>
    </row>
    <row r="142" spans="1:8" ht="13.5" customHeight="1">
      <c r="A142" s="704"/>
      <c r="B142" s="705"/>
      <c r="C142" s="706">
        <v>10500821</v>
      </c>
      <c r="D142" s="707" t="s">
        <v>561</v>
      </c>
      <c r="E142" s="708"/>
      <c r="F142" s="709"/>
      <c r="G142" s="618">
        <f t="shared" si="4"/>
        <v>0</v>
      </c>
      <c r="H142" s="831" t="str">
        <f t="shared" si="6"/>
        <v/>
      </c>
    </row>
    <row r="143" spans="1:8" ht="13.5" customHeight="1">
      <c r="A143" s="704"/>
      <c r="B143" s="705"/>
      <c r="C143" s="706">
        <v>10500822</v>
      </c>
      <c r="D143" s="707" t="s">
        <v>562</v>
      </c>
      <c r="E143" s="708"/>
      <c r="F143" s="709"/>
      <c r="G143" s="618">
        <f t="shared" si="4"/>
        <v>0</v>
      </c>
      <c r="H143" s="831" t="str">
        <f t="shared" si="6"/>
        <v/>
      </c>
    </row>
    <row r="144" spans="1:8" ht="13.5" customHeight="1">
      <c r="A144" s="704"/>
      <c r="B144" s="705"/>
      <c r="C144" s="706">
        <v>10500823</v>
      </c>
      <c r="D144" s="707" t="s">
        <v>563</v>
      </c>
      <c r="E144" s="708"/>
      <c r="F144" s="709"/>
      <c r="G144" s="618">
        <f t="shared" si="4"/>
        <v>0</v>
      </c>
      <c r="H144" s="831" t="str">
        <f t="shared" si="6"/>
        <v/>
      </c>
    </row>
    <row r="145" spans="1:8" ht="13.5" customHeight="1">
      <c r="A145" s="704"/>
      <c r="B145" s="705"/>
      <c r="C145" s="706">
        <v>10500824</v>
      </c>
      <c r="D145" s="707" t="s">
        <v>564</v>
      </c>
      <c r="E145" s="708"/>
      <c r="F145" s="709"/>
      <c r="G145" s="618">
        <f t="shared" si="4"/>
        <v>0</v>
      </c>
      <c r="H145" s="831" t="str">
        <f t="shared" si="6"/>
        <v/>
      </c>
    </row>
    <row r="146" spans="1:8" ht="13.5" customHeight="1">
      <c r="A146" s="704"/>
      <c r="B146" s="705"/>
      <c r="C146" s="706">
        <v>10500825</v>
      </c>
      <c r="D146" s="707" t="s">
        <v>565</v>
      </c>
      <c r="E146" s="708"/>
      <c r="F146" s="709"/>
      <c r="G146" s="618">
        <f t="shared" si="4"/>
        <v>0</v>
      </c>
      <c r="H146" s="831" t="str">
        <f t="shared" si="6"/>
        <v/>
      </c>
    </row>
    <row r="147" spans="1:8" ht="13.5" customHeight="1">
      <c r="A147" s="704"/>
      <c r="B147" s="705"/>
      <c r="C147" s="711"/>
      <c r="D147" s="712"/>
      <c r="E147" s="713"/>
      <c r="F147" s="626"/>
      <c r="G147" s="714">
        <f t="shared" si="4"/>
        <v>0</v>
      </c>
      <c r="H147" s="715"/>
    </row>
    <row r="148" spans="1:8" ht="13.5" customHeight="1">
      <c r="A148" s="704"/>
      <c r="B148" s="705"/>
      <c r="C148" s="706">
        <v>10500901</v>
      </c>
      <c r="D148" s="707" t="s">
        <v>566</v>
      </c>
      <c r="E148" s="708"/>
      <c r="F148" s="709"/>
      <c r="G148" s="618">
        <f t="shared" si="4"/>
        <v>0</v>
      </c>
      <c r="H148" s="716" t="str">
        <f>IF(H$26="009車庫、工場建物",ROUND((H27+H27/(H$5-H$6)*H$6+H27/(H$5-H$6)*H$15)*$D$4,-3),"")</f>
        <v/>
      </c>
    </row>
    <row r="149" spans="1:8" ht="13.5" customHeight="1">
      <c r="A149" s="704"/>
      <c r="B149" s="705"/>
      <c r="C149" s="706">
        <v>10500902</v>
      </c>
      <c r="D149" s="707" t="s">
        <v>567</v>
      </c>
      <c r="E149" s="708"/>
      <c r="F149" s="709"/>
      <c r="G149" s="618">
        <f t="shared" si="4"/>
        <v>0</v>
      </c>
      <c r="H149" s="716" t="str">
        <f t="shared" ref="H149:H172" si="7">IF(H$26="009車庫、工場建物",ROUND((H28+H28/(H$5-H$6)*H$6+H28/(H$5-H$6)*H$15)*$D$4,-3),"")</f>
        <v/>
      </c>
    </row>
    <row r="150" spans="1:8" ht="13.5" customHeight="1">
      <c r="A150" s="704"/>
      <c r="B150" s="705"/>
      <c r="C150" s="706">
        <v>10500903</v>
      </c>
      <c r="D150" s="707" t="s">
        <v>568</v>
      </c>
      <c r="E150" s="708"/>
      <c r="F150" s="709"/>
      <c r="G150" s="618">
        <f t="shared" si="4"/>
        <v>0</v>
      </c>
      <c r="H150" s="716" t="str">
        <f t="shared" si="7"/>
        <v/>
      </c>
    </row>
    <row r="151" spans="1:8" ht="13.5" customHeight="1">
      <c r="A151" s="704"/>
      <c r="B151" s="705"/>
      <c r="C151" s="706">
        <v>10500904</v>
      </c>
      <c r="D151" s="707" t="s">
        <v>569</v>
      </c>
      <c r="E151" s="708"/>
      <c r="F151" s="709"/>
      <c r="G151" s="618">
        <f t="shared" si="4"/>
        <v>0</v>
      </c>
      <c r="H151" s="716" t="str">
        <f t="shared" si="7"/>
        <v/>
      </c>
    </row>
    <row r="152" spans="1:8" ht="13.5" customHeight="1">
      <c r="A152" s="704"/>
      <c r="B152" s="705"/>
      <c r="C152" s="706">
        <v>10500905</v>
      </c>
      <c r="D152" s="707" t="s">
        <v>570</v>
      </c>
      <c r="E152" s="708"/>
      <c r="F152" s="709"/>
      <c r="G152" s="618">
        <f t="shared" si="4"/>
        <v>0</v>
      </c>
      <c r="H152" s="716" t="str">
        <f t="shared" si="7"/>
        <v/>
      </c>
    </row>
    <row r="153" spans="1:8" ht="13.5" customHeight="1">
      <c r="A153" s="704"/>
      <c r="B153" s="705"/>
      <c r="C153" s="706">
        <v>10500906</v>
      </c>
      <c r="D153" s="707" t="s">
        <v>571</v>
      </c>
      <c r="E153" s="708"/>
      <c r="F153" s="709"/>
      <c r="G153" s="618">
        <f t="shared" si="4"/>
        <v>0</v>
      </c>
      <c r="H153" s="716" t="str">
        <f t="shared" si="7"/>
        <v/>
      </c>
    </row>
    <row r="154" spans="1:8" ht="13.5" customHeight="1">
      <c r="A154" s="704"/>
      <c r="B154" s="705"/>
      <c r="C154" s="706">
        <v>10500907</v>
      </c>
      <c r="D154" s="707" t="s">
        <v>572</v>
      </c>
      <c r="E154" s="708"/>
      <c r="F154" s="709"/>
      <c r="G154" s="618">
        <f t="shared" si="4"/>
        <v>0</v>
      </c>
      <c r="H154" s="716" t="str">
        <f t="shared" si="7"/>
        <v/>
      </c>
    </row>
    <row r="155" spans="1:8" ht="13.5" customHeight="1">
      <c r="A155" s="704"/>
      <c r="B155" s="705"/>
      <c r="C155" s="706">
        <v>10500908</v>
      </c>
      <c r="D155" s="707" t="s">
        <v>573</v>
      </c>
      <c r="E155" s="708"/>
      <c r="F155" s="709"/>
      <c r="G155" s="618">
        <f t="shared" si="4"/>
        <v>0</v>
      </c>
      <c r="H155" s="716" t="str">
        <f t="shared" si="7"/>
        <v/>
      </c>
    </row>
    <row r="156" spans="1:8" ht="13.5" customHeight="1">
      <c r="A156" s="704"/>
      <c r="B156" s="705"/>
      <c r="C156" s="706">
        <v>10500909</v>
      </c>
      <c r="D156" s="707" t="s">
        <v>574</v>
      </c>
      <c r="E156" s="708"/>
      <c r="F156" s="709"/>
      <c r="G156" s="618">
        <f t="shared" si="4"/>
        <v>0</v>
      </c>
      <c r="H156" s="716" t="str">
        <f t="shared" si="7"/>
        <v/>
      </c>
    </row>
    <row r="157" spans="1:8" ht="13.5" customHeight="1">
      <c r="A157" s="704"/>
      <c r="B157" s="705"/>
      <c r="C157" s="706">
        <v>10500910</v>
      </c>
      <c r="D157" s="707" t="s">
        <v>575</v>
      </c>
      <c r="E157" s="708"/>
      <c r="F157" s="709"/>
      <c r="G157" s="618">
        <f t="shared" si="4"/>
        <v>0</v>
      </c>
      <c r="H157" s="716" t="str">
        <f t="shared" si="7"/>
        <v/>
      </c>
    </row>
    <row r="158" spans="1:8" ht="13.5" customHeight="1">
      <c r="A158" s="704"/>
      <c r="B158" s="705"/>
      <c r="C158" s="706">
        <v>10500911</v>
      </c>
      <c r="D158" s="707" t="s">
        <v>576</v>
      </c>
      <c r="E158" s="708"/>
      <c r="F158" s="709"/>
      <c r="G158" s="618">
        <f t="shared" si="4"/>
        <v>0</v>
      </c>
      <c r="H158" s="716" t="str">
        <f t="shared" si="7"/>
        <v/>
      </c>
    </row>
    <row r="159" spans="1:8" ht="13.5" customHeight="1">
      <c r="A159" s="704"/>
      <c r="B159" s="705"/>
      <c r="C159" s="706">
        <v>10500912</v>
      </c>
      <c r="D159" s="707" t="s">
        <v>577</v>
      </c>
      <c r="E159" s="708"/>
      <c r="F159" s="709"/>
      <c r="G159" s="618">
        <f t="shared" si="4"/>
        <v>0</v>
      </c>
      <c r="H159" s="716" t="str">
        <f t="shared" si="7"/>
        <v/>
      </c>
    </row>
    <row r="160" spans="1:8" ht="13.5" customHeight="1">
      <c r="A160" s="704"/>
      <c r="B160" s="705"/>
      <c r="C160" s="706">
        <v>10500913</v>
      </c>
      <c r="D160" s="707" t="s">
        <v>578</v>
      </c>
      <c r="E160" s="708"/>
      <c r="F160" s="709"/>
      <c r="G160" s="618">
        <f t="shared" ref="G160:G223" si="8">SUM(H160:I160)</f>
        <v>0</v>
      </c>
      <c r="H160" s="716" t="str">
        <f t="shared" si="7"/>
        <v/>
      </c>
    </row>
    <row r="161" spans="1:8" ht="13.5" customHeight="1">
      <c r="A161" s="704"/>
      <c r="B161" s="705"/>
      <c r="C161" s="706">
        <v>10500914</v>
      </c>
      <c r="D161" s="707" t="s">
        <v>579</v>
      </c>
      <c r="E161" s="708"/>
      <c r="F161" s="709"/>
      <c r="G161" s="618">
        <f t="shared" si="8"/>
        <v>0</v>
      </c>
      <c r="H161" s="716" t="str">
        <f t="shared" si="7"/>
        <v/>
      </c>
    </row>
    <row r="162" spans="1:8" ht="13.5" customHeight="1">
      <c r="A162" s="704"/>
      <c r="B162" s="705"/>
      <c r="C162" s="706">
        <v>10500915</v>
      </c>
      <c r="D162" s="707" t="s">
        <v>580</v>
      </c>
      <c r="E162" s="708"/>
      <c r="F162" s="709"/>
      <c r="G162" s="618">
        <f t="shared" si="8"/>
        <v>0</v>
      </c>
      <c r="H162" s="716" t="str">
        <f t="shared" si="7"/>
        <v/>
      </c>
    </row>
    <row r="163" spans="1:8" ht="13.5" customHeight="1">
      <c r="A163" s="704"/>
      <c r="B163" s="705"/>
      <c r="C163" s="706">
        <v>10500916</v>
      </c>
      <c r="D163" s="707" t="s">
        <v>581</v>
      </c>
      <c r="E163" s="708"/>
      <c r="F163" s="709"/>
      <c r="G163" s="618">
        <f t="shared" si="8"/>
        <v>0</v>
      </c>
      <c r="H163" s="716" t="str">
        <f t="shared" si="7"/>
        <v/>
      </c>
    </row>
    <row r="164" spans="1:8" ht="13.5" customHeight="1">
      <c r="A164" s="704"/>
      <c r="B164" s="705"/>
      <c r="C164" s="706">
        <v>10500917</v>
      </c>
      <c r="D164" s="707" t="s">
        <v>582</v>
      </c>
      <c r="E164" s="708"/>
      <c r="F164" s="709"/>
      <c r="G164" s="618">
        <f t="shared" si="8"/>
        <v>0</v>
      </c>
      <c r="H164" s="716" t="str">
        <f t="shared" si="7"/>
        <v/>
      </c>
    </row>
    <row r="165" spans="1:8" ht="13.5" customHeight="1">
      <c r="A165" s="704"/>
      <c r="B165" s="705"/>
      <c r="C165" s="706">
        <v>10500918</v>
      </c>
      <c r="D165" s="707" t="s">
        <v>583</v>
      </c>
      <c r="E165" s="708"/>
      <c r="F165" s="709"/>
      <c r="G165" s="618">
        <f t="shared" si="8"/>
        <v>0</v>
      </c>
      <c r="H165" s="716" t="str">
        <f t="shared" si="7"/>
        <v/>
      </c>
    </row>
    <row r="166" spans="1:8" ht="13.5" customHeight="1">
      <c r="A166" s="704"/>
      <c r="B166" s="705"/>
      <c r="C166" s="706">
        <v>10500919</v>
      </c>
      <c r="D166" s="707" t="s">
        <v>584</v>
      </c>
      <c r="E166" s="708"/>
      <c r="F166" s="709"/>
      <c r="G166" s="618">
        <f t="shared" si="8"/>
        <v>0</v>
      </c>
      <c r="H166" s="716" t="str">
        <f t="shared" si="7"/>
        <v/>
      </c>
    </row>
    <row r="167" spans="1:8" ht="13.5" customHeight="1">
      <c r="A167" s="704"/>
      <c r="B167" s="705"/>
      <c r="C167" s="706">
        <v>10500920</v>
      </c>
      <c r="D167" s="707" t="s">
        <v>585</v>
      </c>
      <c r="E167" s="708"/>
      <c r="F167" s="709"/>
      <c r="G167" s="618">
        <f t="shared" si="8"/>
        <v>0</v>
      </c>
      <c r="H167" s="716" t="str">
        <f t="shared" si="7"/>
        <v/>
      </c>
    </row>
    <row r="168" spans="1:8" ht="13.5" customHeight="1">
      <c r="A168" s="704"/>
      <c r="B168" s="705"/>
      <c r="C168" s="706">
        <v>10500921</v>
      </c>
      <c r="D168" s="707" t="s">
        <v>586</v>
      </c>
      <c r="E168" s="708"/>
      <c r="F168" s="709"/>
      <c r="G168" s="618">
        <f t="shared" si="8"/>
        <v>0</v>
      </c>
      <c r="H168" s="716" t="str">
        <f t="shared" si="7"/>
        <v/>
      </c>
    </row>
    <row r="169" spans="1:8" ht="13.5" customHeight="1">
      <c r="A169" s="704"/>
      <c r="B169" s="705"/>
      <c r="C169" s="706">
        <v>10500922</v>
      </c>
      <c r="D169" s="707" t="s">
        <v>587</v>
      </c>
      <c r="E169" s="708"/>
      <c r="F169" s="709"/>
      <c r="G169" s="618">
        <f t="shared" si="8"/>
        <v>0</v>
      </c>
      <c r="H169" s="716" t="str">
        <f t="shared" si="7"/>
        <v/>
      </c>
    </row>
    <row r="170" spans="1:8" ht="13.5" customHeight="1">
      <c r="A170" s="704"/>
      <c r="B170" s="705"/>
      <c r="C170" s="706">
        <v>10500923</v>
      </c>
      <c r="D170" s="707" t="s">
        <v>588</v>
      </c>
      <c r="E170" s="708"/>
      <c r="F170" s="709"/>
      <c r="G170" s="618">
        <f t="shared" si="8"/>
        <v>0</v>
      </c>
      <c r="H170" s="716" t="str">
        <f t="shared" si="7"/>
        <v/>
      </c>
    </row>
    <row r="171" spans="1:8" ht="13.5" customHeight="1">
      <c r="A171" s="704"/>
      <c r="B171" s="705"/>
      <c r="C171" s="706">
        <v>10500924</v>
      </c>
      <c r="D171" s="707" t="s">
        <v>589</v>
      </c>
      <c r="E171" s="708"/>
      <c r="F171" s="709"/>
      <c r="G171" s="618">
        <f t="shared" si="8"/>
        <v>0</v>
      </c>
      <c r="H171" s="716" t="str">
        <f t="shared" si="7"/>
        <v/>
      </c>
    </row>
    <row r="172" spans="1:8" ht="13.5" customHeight="1">
      <c r="A172" s="704"/>
      <c r="B172" s="705"/>
      <c r="C172" s="706">
        <v>10500925</v>
      </c>
      <c r="D172" s="707" t="s">
        <v>590</v>
      </c>
      <c r="E172" s="708"/>
      <c r="F172" s="709"/>
      <c r="G172" s="618">
        <f t="shared" si="8"/>
        <v>0</v>
      </c>
      <c r="H172" s="716" t="str">
        <f t="shared" si="7"/>
        <v/>
      </c>
    </row>
    <row r="173" spans="1:8" ht="13.5" customHeight="1">
      <c r="A173" s="704"/>
      <c r="B173" s="705"/>
      <c r="C173" s="711"/>
      <c r="D173" s="712"/>
      <c r="E173" s="713"/>
      <c r="F173" s="626"/>
      <c r="G173" s="714">
        <f t="shared" si="8"/>
        <v>0</v>
      </c>
      <c r="H173" s="715"/>
    </row>
    <row r="174" spans="1:8" ht="13.5" customHeight="1">
      <c r="A174" s="704"/>
      <c r="B174" s="539"/>
      <c r="C174" s="706">
        <v>10501001</v>
      </c>
      <c r="D174" s="707" t="s">
        <v>591</v>
      </c>
      <c r="E174" s="708"/>
      <c r="F174" s="709"/>
      <c r="G174" s="618">
        <f t="shared" si="8"/>
        <v>0</v>
      </c>
      <c r="H174" s="716" t="str">
        <f>IF(H$26="010倉庫建物",ROUND((H27+H27/(H$5-H$6)*H$6+H27/(H$5-H$6)*H$15)*$D$4,-3),"")</f>
        <v/>
      </c>
    </row>
    <row r="175" spans="1:8" ht="13.5" customHeight="1">
      <c r="A175" s="704"/>
      <c r="C175" s="706">
        <v>10501002</v>
      </c>
      <c r="D175" s="707" t="s">
        <v>592</v>
      </c>
      <c r="E175" s="708"/>
      <c r="F175" s="709"/>
      <c r="G175" s="618">
        <f t="shared" si="8"/>
        <v>0</v>
      </c>
      <c r="H175" s="716" t="str">
        <f t="shared" ref="H175:H198" si="9">IF(H$26="010倉庫建物",ROUND((H28+H28/(H$5-H$6)*H$6+H28/(H$5-H$6)*H$15)*$D$4,-3),"")</f>
        <v/>
      </c>
    </row>
    <row r="176" spans="1:8" ht="13.5" customHeight="1">
      <c r="A176" s="704"/>
      <c r="C176" s="706">
        <v>10501003</v>
      </c>
      <c r="D176" s="707" t="s">
        <v>593</v>
      </c>
      <c r="E176" s="708"/>
      <c r="F176" s="709"/>
      <c r="G176" s="618">
        <f t="shared" si="8"/>
        <v>0</v>
      </c>
      <c r="H176" s="716" t="str">
        <f t="shared" si="9"/>
        <v/>
      </c>
    </row>
    <row r="177" spans="1:8" ht="13.5" customHeight="1">
      <c r="A177" s="704"/>
      <c r="C177" s="706">
        <v>10501004</v>
      </c>
      <c r="D177" s="707" t="s">
        <v>594</v>
      </c>
      <c r="E177" s="708"/>
      <c r="F177" s="709"/>
      <c r="G177" s="618">
        <f t="shared" si="8"/>
        <v>0</v>
      </c>
      <c r="H177" s="716" t="str">
        <f t="shared" si="9"/>
        <v/>
      </c>
    </row>
    <row r="178" spans="1:8" ht="13.5" customHeight="1">
      <c r="A178" s="704"/>
      <c r="C178" s="706">
        <v>10501005</v>
      </c>
      <c r="D178" s="707" t="s">
        <v>595</v>
      </c>
      <c r="E178" s="708"/>
      <c r="F178" s="709"/>
      <c r="G178" s="618">
        <f t="shared" si="8"/>
        <v>0</v>
      </c>
      <c r="H178" s="716" t="str">
        <f t="shared" si="9"/>
        <v/>
      </c>
    </row>
    <row r="179" spans="1:8" ht="13.5" customHeight="1">
      <c r="A179" s="704"/>
      <c r="C179" s="706">
        <v>10501006</v>
      </c>
      <c r="D179" s="707" t="s">
        <v>596</v>
      </c>
      <c r="E179" s="708"/>
      <c r="F179" s="709"/>
      <c r="G179" s="618">
        <f t="shared" si="8"/>
        <v>0</v>
      </c>
      <c r="H179" s="716" t="str">
        <f t="shared" si="9"/>
        <v/>
      </c>
    </row>
    <row r="180" spans="1:8" ht="13.5" customHeight="1">
      <c r="A180" s="704"/>
      <c r="C180" s="706">
        <v>10501007</v>
      </c>
      <c r="D180" s="707" t="s">
        <v>597</v>
      </c>
      <c r="E180" s="708"/>
      <c r="F180" s="709"/>
      <c r="G180" s="618">
        <f t="shared" si="8"/>
        <v>0</v>
      </c>
      <c r="H180" s="716" t="str">
        <f t="shared" si="9"/>
        <v/>
      </c>
    </row>
    <row r="181" spans="1:8" ht="13.5" customHeight="1">
      <c r="A181" s="704"/>
      <c r="C181" s="706">
        <v>10501008</v>
      </c>
      <c r="D181" s="707" t="s">
        <v>598</v>
      </c>
      <c r="E181" s="708"/>
      <c r="F181" s="709"/>
      <c r="G181" s="618">
        <f t="shared" si="8"/>
        <v>0</v>
      </c>
      <c r="H181" s="716" t="str">
        <f t="shared" si="9"/>
        <v/>
      </c>
    </row>
    <row r="182" spans="1:8" ht="13.5" customHeight="1">
      <c r="A182" s="704"/>
      <c r="C182" s="706">
        <v>10501009</v>
      </c>
      <c r="D182" s="707" t="s">
        <v>599</v>
      </c>
      <c r="E182" s="708"/>
      <c r="F182" s="709"/>
      <c r="G182" s="618">
        <f t="shared" si="8"/>
        <v>0</v>
      </c>
      <c r="H182" s="716" t="str">
        <f t="shared" si="9"/>
        <v/>
      </c>
    </row>
    <row r="183" spans="1:8" ht="13.5" customHeight="1">
      <c r="A183" s="704"/>
      <c r="C183" s="706">
        <v>10501010</v>
      </c>
      <c r="D183" s="707" t="s">
        <v>600</v>
      </c>
      <c r="E183" s="708"/>
      <c r="F183" s="709"/>
      <c r="G183" s="618">
        <f t="shared" si="8"/>
        <v>0</v>
      </c>
      <c r="H183" s="716" t="str">
        <f t="shared" si="9"/>
        <v/>
      </c>
    </row>
    <row r="184" spans="1:8" ht="13.5" customHeight="1">
      <c r="A184" s="704"/>
      <c r="C184" s="706">
        <v>10501011</v>
      </c>
      <c r="D184" s="707" t="s">
        <v>601</v>
      </c>
      <c r="E184" s="708"/>
      <c r="F184" s="709"/>
      <c r="G184" s="618">
        <f t="shared" si="8"/>
        <v>0</v>
      </c>
      <c r="H184" s="716" t="str">
        <f t="shared" si="9"/>
        <v/>
      </c>
    </row>
    <row r="185" spans="1:8" ht="13.5" customHeight="1">
      <c r="A185" s="704"/>
      <c r="C185" s="706">
        <v>10501012</v>
      </c>
      <c r="D185" s="707" t="s">
        <v>602</v>
      </c>
      <c r="E185" s="708"/>
      <c r="F185" s="709"/>
      <c r="G185" s="618">
        <f t="shared" si="8"/>
        <v>0</v>
      </c>
      <c r="H185" s="716" t="str">
        <f t="shared" si="9"/>
        <v/>
      </c>
    </row>
    <row r="186" spans="1:8" ht="13.5" customHeight="1">
      <c r="A186" s="704"/>
      <c r="C186" s="706">
        <v>10501013</v>
      </c>
      <c r="D186" s="707" t="s">
        <v>603</v>
      </c>
      <c r="E186" s="708"/>
      <c r="F186" s="709"/>
      <c r="G186" s="618">
        <f t="shared" si="8"/>
        <v>0</v>
      </c>
      <c r="H186" s="716" t="str">
        <f t="shared" si="9"/>
        <v/>
      </c>
    </row>
    <row r="187" spans="1:8" ht="13.5" customHeight="1">
      <c r="A187" s="704"/>
      <c r="C187" s="706">
        <v>10501014</v>
      </c>
      <c r="D187" s="707" t="s">
        <v>604</v>
      </c>
      <c r="E187" s="708"/>
      <c r="F187" s="709"/>
      <c r="G187" s="618">
        <f t="shared" si="8"/>
        <v>0</v>
      </c>
      <c r="H187" s="716" t="str">
        <f t="shared" si="9"/>
        <v/>
      </c>
    </row>
    <row r="188" spans="1:8" ht="13.5" customHeight="1">
      <c r="A188" s="704"/>
      <c r="C188" s="706">
        <v>10501015</v>
      </c>
      <c r="D188" s="707" t="s">
        <v>605</v>
      </c>
      <c r="E188" s="708"/>
      <c r="F188" s="709"/>
      <c r="G188" s="618">
        <f t="shared" si="8"/>
        <v>0</v>
      </c>
      <c r="H188" s="716" t="str">
        <f t="shared" si="9"/>
        <v/>
      </c>
    </row>
    <row r="189" spans="1:8" ht="13.5" customHeight="1">
      <c r="A189" s="704"/>
      <c r="C189" s="706">
        <v>10501016</v>
      </c>
      <c r="D189" s="707" t="s">
        <v>606</v>
      </c>
      <c r="E189" s="708"/>
      <c r="F189" s="709"/>
      <c r="G189" s="618">
        <f t="shared" si="8"/>
        <v>0</v>
      </c>
      <c r="H189" s="716" t="str">
        <f t="shared" si="9"/>
        <v/>
      </c>
    </row>
    <row r="190" spans="1:8" ht="13.5" customHeight="1">
      <c r="A190" s="704"/>
      <c r="C190" s="706">
        <v>10501017</v>
      </c>
      <c r="D190" s="707" t="s">
        <v>607</v>
      </c>
      <c r="E190" s="708"/>
      <c r="F190" s="709"/>
      <c r="G190" s="618">
        <f t="shared" si="8"/>
        <v>0</v>
      </c>
      <c r="H190" s="716" t="str">
        <f t="shared" si="9"/>
        <v/>
      </c>
    </row>
    <row r="191" spans="1:8" ht="13.5" customHeight="1">
      <c r="A191" s="704"/>
      <c r="C191" s="706">
        <v>10501018</v>
      </c>
      <c r="D191" s="707" t="s">
        <v>608</v>
      </c>
      <c r="E191" s="708"/>
      <c r="F191" s="709"/>
      <c r="G191" s="618">
        <f t="shared" si="8"/>
        <v>0</v>
      </c>
      <c r="H191" s="716" t="str">
        <f t="shared" si="9"/>
        <v/>
      </c>
    </row>
    <row r="192" spans="1:8" ht="13.5" customHeight="1">
      <c r="A192" s="704"/>
      <c r="C192" s="706">
        <v>10501019</v>
      </c>
      <c r="D192" s="707" t="s">
        <v>609</v>
      </c>
      <c r="E192" s="708"/>
      <c r="F192" s="709"/>
      <c r="G192" s="618">
        <f t="shared" si="8"/>
        <v>0</v>
      </c>
      <c r="H192" s="716" t="str">
        <f t="shared" si="9"/>
        <v/>
      </c>
    </row>
    <row r="193" spans="1:8" ht="13.5" customHeight="1">
      <c r="A193" s="704"/>
      <c r="C193" s="706">
        <v>10501020</v>
      </c>
      <c r="D193" s="707" t="s">
        <v>610</v>
      </c>
      <c r="E193" s="708"/>
      <c r="F193" s="709"/>
      <c r="G193" s="618">
        <f t="shared" si="8"/>
        <v>0</v>
      </c>
      <c r="H193" s="716" t="str">
        <f t="shared" si="9"/>
        <v/>
      </c>
    </row>
    <row r="194" spans="1:8" ht="13.5" customHeight="1">
      <c r="A194" s="704"/>
      <c r="C194" s="706">
        <v>10501021</v>
      </c>
      <c r="D194" s="707" t="s">
        <v>611</v>
      </c>
      <c r="E194" s="708"/>
      <c r="F194" s="709"/>
      <c r="G194" s="618">
        <f t="shared" si="8"/>
        <v>0</v>
      </c>
      <c r="H194" s="716" t="str">
        <f t="shared" si="9"/>
        <v/>
      </c>
    </row>
    <row r="195" spans="1:8" ht="13.5" customHeight="1">
      <c r="A195" s="704"/>
      <c r="C195" s="706">
        <v>10501022</v>
      </c>
      <c r="D195" s="707" t="s">
        <v>612</v>
      </c>
      <c r="E195" s="708"/>
      <c r="F195" s="709"/>
      <c r="G195" s="618">
        <f t="shared" si="8"/>
        <v>0</v>
      </c>
      <c r="H195" s="716" t="str">
        <f t="shared" si="9"/>
        <v/>
      </c>
    </row>
    <row r="196" spans="1:8" ht="13.5" customHeight="1">
      <c r="A196" s="704"/>
      <c r="C196" s="706">
        <v>10501023</v>
      </c>
      <c r="D196" s="707" t="s">
        <v>613</v>
      </c>
      <c r="E196" s="708"/>
      <c r="F196" s="709"/>
      <c r="G196" s="618">
        <f t="shared" si="8"/>
        <v>0</v>
      </c>
      <c r="H196" s="716" t="str">
        <f t="shared" si="9"/>
        <v/>
      </c>
    </row>
    <row r="197" spans="1:8" ht="13.5" customHeight="1">
      <c r="A197" s="704"/>
      <c r="C197" s="706">
        <v>10501024</v>
      </c>
      <c r="D197" s="707" t="s">
        <v>614</v>
      </c>
      <c r="E197" s="708"/>
      <c r="F197" s="709"/>
      <c r="G197" s="618">
        <f t="shared" si="8"/>
        <v>0</v>
      </c>
      <c r="H197" s="716" t="str">
        <f t="shared" si="9"/>
        <v/>
      </c>
    </row>
    <row r="198" spans="1:8" ht="13.5" customHeight="1">
      <c r="A198" s="704"/>
      <c r="C198" s="706">
        <v>10501025</v>
      </c>
      <c r="D198" s="707" t="s">
        <v>615</v>
      </c>
      <c r="E198" s="708"/>
      <c r="F198" s="709"/>
      <c r="G198" s="618">
        <f t="shared" si="8"/>
        <v>0</v>
      </c>
      <c r="H198" s="716" t="str">
        <f t="shared" si="9"/>
        <v/>
      </c>
    </row>
    <row r="199" spans="1:8" ht="13.5" customHeight="1">
      <c r="A199" s="704"/>
      <c r="B199" s="705"/>
      <c r="C199" s="711"/>
      <c r="D199" s="712"/>
      <c r="E199" s="713"/>
      <c r="F199" s="626"/>
      <c r="G199" s="714">
        <f t="shared" si="8"/>
        <v>0</v>
      </c>
      <c r="H199" s="715"/>
    </row>
    <row r="200" spans="1:8" ht="13.5" customHeight="1">
      <c r="A200" s="704"/>
      <c r="C200" s="706">
        <v>10501101</v>
      </c>
      <c r="D200" s="707" t="s">
        <v>616</v>
      </c>
      <c r="E200" s="708"/>
      <c r="F200" s="709"/>
      <c r="G200" s="618">
        <f t="shared" si="8"/>
        <v>0</v>
      </c>
      <c r="H200" s="716" t="str">
        <f>IF(H$26="011詰所建物",ROUND((H27+H27/(H$5-H$6)*H$6+H27/(H$5-H$6)*H$15)*$D$4,-3),"")</f>
        <v/>
      </c>
    </row>
    <row r="201" spans="1:8" ht="13.5" customHeight="1">
      <c r="A201" s="704"/>
      <c r="C201" s="706">
        <v>10501102</v>
      </c>
      <c r="D201" s="707" t="s">
        <v>617</v>
      </c>
      <c r="E201" s="708"/>
      <c r="F201" s="709"/>
      <c r="G201" s="618">
        <f t="shared" si="8"/>
        <v>0</v>
      </c>
      <c r="H201" s="716" t="str">
        <f t="shared" ref="H201:H224" si="10">IF(H$26="011詰所建物",ROUND((H28+H28/(H$5-H$6)*H$6+H28/(H$5-H$6)*H$15)*$D$4,-3),"")</f>
        <v/>
      </c>
    </row>
    <row r="202" spans="1:8" ht="13.5" customHeight="1">
      <c r="A202" s="704"/>
      <c r="C202" s="706">
        <v>10501103</v>
      </c>
      <c r="D202" s="707" t="s">
        <v>618</v>
      </c>
      <c r="E202" s="708"/>
      <c r="F202" s="709"/>
      <c r="G202" s="618">
        <f t="shared" si="8"/>
        <v>0</v>
      </c>
      <c r="H202" s="716" t="str">
        <f t="shared" si="10"/>
        <v/>
      </c>
    </row>
    <row r="203" spans="1:8" ht="13.5" customHeight="1">
      <c r="A203" s="704"/>
      <c r="C203" s="706">
        <v>10501104</v>
      </c>
      <c r="D203" s="707" t="s">
        <v>619</v>
      </c>
      <c r="E203" s="708"/>
      <c r="F203" s="709"/>
      <c r="G203" s="618">
        <f t="shared" si="8"/>
        <v>0</v>
      </c>
      <c r="H203" s="716" t="str">
        <f t="shared" si="10"/>
        <v/>
      </c>
    </row>
    <row r="204" spans="1:8" ht="13.5" customHeight="1">
      <c r="A204" s="704"/>
      <c r="C204" s="706">
        <v>10501105</v>
      </c>
      <c r="D204" s="707" t="s">
        <v>620</v>
      </c>
      <c r="E204" s="708"/>
      <c r="F204" s="709"/>
      <c r="G204" s="618">
        <f t="shared" si="8"/>
        <v>0</v>
      </c>
      <c r="H204" s="716" t="str">
        <f t="shared" si="10"/>
        <v/>
      </c>
    </row>
    <row r="205" spans="1:8" ht="13.5" customHeight="1">
      <c r="A205" s="704"/>
      <c r="C205" s="706">
        <v>10501106</v>
      </c>
      <c r="D205" s="707" t="s">
        <v>621</v>
      </c>
      <c r="E205" s="708"/>
      <c r="F205" s="709"/>
      <c r="G205" s="618">
        <f t="shared" si="8"/>
        <v>0</v>
      </c>
      <c r="H205" s="716" t="str">
        <f t="shared" si="10"/>
        <v/>
      </c>
    </row>
    <row r="206" spans="1:8" ht="13.5" customHeight="1">
      <c r="A206" s="704"/>
      <c r="C206" s="706">
        <v>10501107</v>
      </c>
      <c r="D206" s="707" t="s">
        <v>622</v>
      </c>
      <c r="E206" s="708"/>
      <c r="F206" s="709"/>
      <c r="G206" s="618">
        <f t="shared" si="8"/>
        <v>0</v>
      </c>
      <c r="H206" s="716" t="str">
        <f t="shared" si="10"/>
        <v/>
      </c>
    </row>
    <row r="207" spans="1:8" ht="13.5" customHeight="1">
      <c r="A207" s="704"/>
      <c r="C207" s="706">
        <v>10501108</v>
      </c>
      <c r="D207" s="707" t="s">
        <v>623</v>
      </c>
      <c r="E207" s="708"/>
      <c r="F207" s="709"/>
      <c r="G207" s="618">
        <f t="shared" si="8"/>
        <v>0</v>
      </c>
      <c r="H207" s="716" t="str">
        <f t="shared" si="10"/>
        <v/>
      </c>
    </row>
    <row r="208" spans="1:8" ht="13.5" customHeight="1">
      <c r="A208" s="704"/>
      <c r="C208" s="706">
        <v>10501109</v>
      </c>
      <c r="D208" s="707" t="s">
        <v>624</v>
      </c>
      <c r="E208" s="708"/>
      <c r="F208" s="709"/>
      <c r="G208" s="618">
        <f t="shared" si="8"/>
        <v>0</v>
      </c>
      <c r="H208" s="716" t="str">
        <f t="shared" si="10"/>
        <v/>
      </c>
    </row>
    <row r="209" spans="1:8" ht="13.5" customHeight="1">
      <c r="A209" s="704"/>
      <c r="C209" s="706">
        <v>10501110</v>
      </c>
      <c r="D209" s="707" t="s">
        <v>625</v>
      </c>
      <c r="E209" s="708"/>
      <c r="F209" s="709"/>
      <c r="G209" s="618">
        <f t="shared" si="8"/>
        <v>0</v>
      </c>
      <c r="H209" s="716" t="str">
        <f t="shared" si="10"/>
        <v/>
      </c>
    </row>
    <row r="210" spans="1:8" ht="13.5" customHeight="1">
      <c r="A210" s="704"/>
      <c r="C210" s="706">
        <v>10501111</v>
      </c>
      <c r="D210" s="707" t="s">
        <v>626</v>
      </c>
      <c r="E210" s="708"/>
      <c r="F210" s="709"/>
      <c r="G210" s="618">
        <f t="shared" si="8"/>
        <v>0</v>
      </c>
      <c r="H210" s="716" t="str">
        <f t="shared" si="10"/>
        <v/>
      </c>
    </row>
    <row r="211" spans="1:8" ht="13.5" customHeight="1">
      <c r="A211" s="704"/>
      <c r="C211" s="706">
        <v>10501112</v>
      </c>
      <c r="D211" s="707" t="s">
        <v>627</v>
      </c>
      <c r="E211" s="708"/>
      <c r="F211" s="709"/>
      <c r="G211" s="618">
        <f t="shared" si="8"/>
        <v>0</v>
      </c>
      <c r="H211" s="716" t="str">
        <f t="shared" si="10"/>
        <v/>
      </c>
    </row>
    <row r="212" spans="1:8" ht="13.5" customHeight="1">
      <c r="A212" s="704"/>
      <c r="C212" s="706">
        <v>10501113</v>
      </c>
      <c r="D212" s="707" t="s">
        <v>628</v>
      </c>
      <c r="E212" s="708"/>
      <c r="F212" s="709"/>
      <c r="G212" s="618">
        <f t="shared" si="8"/>
        <v>0</v>
      </c>
      <c r="H212" s="716" t="str">
        <f t="shared" si="10"/>
        <v/>
      </c>
    </row>
    <row r="213" spans="1:8" ht="13.5" customHeight="1">
      <c r="A213" s="704"/>
      <c r="C213" s="706">
        <v>10501114</v>
      </c>
      <c r="D213" s="707" t="s">
        <v>629</v>
      </c>
      <c r="E213" s="708"/>
      <c r="F213" s="709"/>
      <c r="G213" s="618">
        <f t="shared" si="8"/>
        <v>0</v>
      </c>
      <c r="H213" s="716" t="str">
        <f t="shared" si="10"/>
        <v/>
      </c>
    </row>
    <row r="214" spans="1:8" ht="13.5" customHeight="1">
      <c r="A214" s="704"/>
      <c r="C214" s="706">
        <v>10501115</v>
      </c>
      <c r="D214" s="707" t="s">
        <v>630</v>
      </c>
      <c r="E214" s="708"/>
      <c r="F214" s="709"/>
      <c r="G214" s="618">
        <f t="shared" si="8"/>
        <v>0</v>
      </c>
      <c r="H214" s="716" t="str">
        <f t="shared" si="10"/>
        <v/>
      </c>
    </row>
    <row r="215" spans="1:8" ht="13.5" customHeight="1">
      <c r="A215" s="704"/>
      <c r="C215" s="706">
        <v>10501116</v>
      </c>
      <c r="D215" s="707" t="s">
        <v>631</v>
      </c>
      <c r="E215" s="708"/>
      <c r="F215" s="709"/>
      <c r="G215" s="618">
        <f t="shared" si="8"/>
        <v>0</v>
      </c>
      <c r="H215" s="716" t="str">
        <f t="shared" si="10"/>
        <v/>
      </c>
    </row>
    <row r="216" spans="1:8" ht="13.5" customHeight="1">
      <c r="A216" s="704"/>
      <c r="C216" s="706">
        <v>10501117</v>
      </c>
      <c r="D216" s="707" t="s">
        <v>632</v>
      </c>
      <c r="E216" s="708"/>
      <c r="F216" s="709"/>
      <c r="G216" s="618">
        <f t="shared" si="8"/>
        <v>0</v>
      </c>
      <c r="H216" s="716" t="str">
        <f t="shared" si="10"/>
        <v/>
      </c>
    </row>
    <row r="217" spans="1:8" ht="13.5" customHeight="1">
      <c r="A217" s="704"/>
      <c r="C217" s="706">
        <v>10501118</v>
      </c>
      <c r="D217" s="707" t="s">
        <v>633</v>
      </c>
      <c r="E217" s="708"/>
      <c r="F217" s="709"/>
      <c r="G217" s="618">
        <f t="shared" si="8"/>
        <v>0</v>
      </c>
      <c r="H217" s="716" t="str">
        <f t="shared" si="10"/>
        <v/>
      </c>
    </row>
    <row r="218" spans="1:8" ht="13.5" customHeight="1">
      <c r="A218" s="704"/>
      <c r="C218" s="706">
        <v>10501119</v>
      </c>
      <c r="D218" s="707" t="s">
        <v>634</v>
      </c>
      <c r="E218" s="708"/>
      <c r="F218" s="709"/>
      <c r="G218" s="618">
        <f t="shared" si="8"/>
        <v>0</v>
      </c>
      <c r="H218" s="716" t="str">
        <f t="shared" si="10"/>
        <v/>
      </c>
    </row>
    <row r="219" spans="1:8" ht="13.5" customHeight="1">
      <c r="A219" s="704"/>
      <c r="C219" s="706">
        <v>10501120</v>
      </c>
      <c r="D219" s="707" t="s">
        <v>635</v>
      </c>
      <c r="E219" s="708"/>
      <c r="F219" s="709"/>
      <c r="G219" s="618">
        <f t="shared" si="8"/>
        <v>0</v>
      </c>
      <c r="H219" s="716" t="str">
        <f t="shared" si="10"/>
        <v/>
      </c>
    </row>
    <row r="220" spans="1:8" ht="13.5" customHeight="1">
      <c r="A220" s="704"/>
      <c r="C220" s="706">
        <v>10501121</v>
      </c>
      <c r="D220" s="707" t="s">
        <v>636</v>
      </c>
      <c r="E220" s="708"/>
      <c r="F220" s="709"/>
      <c r="G220" s="618">
        <f t="shared" si="8"/>
        <v>0</v>
      </c>
      <c r="H220" s="716" t="str">
        <f t="shared" si="10"/>
        <v/>
      </c>
    </row>
    <row r="221" spans="1:8" ht="13.5" customHeight="1">
      <c r="A221" s="704"/>
      <c r="C221" s="706">
        <v>10501122</v>
      </c>
      <c r="D221" s="707" t="s">
        <v>637</v>
      </c>
      <c r="E221" s="708"/>
      <c r="F221" s="709"/>
      <c r="G221" s="618">
        <f t="shared" si="8"/>
        <v>0</v>
      </c>
      <c r="H221" s="716" t="str">
        <f t="shared" si="10"/>
        <v/>
      </c>
    </row>
    <row r="222" spans="1:8" ht="13.5" customHeight="1">
      <c r="A222" s="704"/>
      <c r="C222" s="706">
        <v>10501123</v>
      </c>
      <c r="D222" s="707" t="s">
        <v>638</v>
      </c>
      <c r="E222" s="708"/>
      <c r="F222" s="709"/>
      <c r="G222" s="618">
        <f t="shared" si="8"/>
        <v>0</v>
      </c>
      <c r="H222" s="716" t="str">
        <f t="shared" si="10"/>
        <v/>
      </c>
    </row>
    <row r="223" spans="1:8" ht="13.5" customHeight="1">
      <c r="A223" s="704"/>
      <c r="C223" s="706">
        <v>10501124</v>
      </c>
      <c r="D223" s="707" t="s">
        <v>639</v>
      </c>
      <c r="E223" s="708"/>
      <c r="F223" s="709"/>
      <c r="G223" s="618">
        <f t="shared" si="8"/>
        <v>0</v>
      </c>
      <c r="H223" s="716" t="str">
        <f t="shared" si="10"/>
        <v/>
      </c>
    </row>
    <row r="224" spans="1:8" ht="13.5" customHeight="1">
      <c r="A224" s="704"/>
      <c r="C224" s="706">
        <v>10501125</v>
      </c>
      <c r="D224" s="707" t="s">
        <v>640</v>
      </c>
      <c r="E224" s="708"/>
      <c r="F224" s="709"/>
      <c r="G224" s="618">
        <f t="shared" ref="G224:G287" si="11">SUM(H224:I224)</f>
        <v>0</v>
      </c>
      <c r="H224" s="716" t="str">
        <f t="shared" si="10"/>
        <v/>
      </c>
    </row>
    <row r="225" spans="1:8" ht="13.5" customHeight="1">
      <c r="A225" s="704"/>
      <c r="B225" s="705"/>
      <c r="C225" s="711"/>
      <c r="D225" s="712"/>
      <c r="E225" s="713"/>
      <c r="F225" s="626"/>
      <c r="G225" s="714">
        <f t="shared" si="11"/>
        <v>0</v>
      </c>
      <c r="H225" s="715"/>
    </row>
    <row r="226" spans="1:8" ht="13.5" customHeight="1">
      <c r="A226" s="704"/>
      <c r="C226" s="706">
        <v>10501201</v>
      </c>
      <c r="D226" s="707" t="s">
        <v>641</v>
      </c>
      <c r="E226" s="708"/>
      <c r="F226" s="709"/>
      <c r="G226" s="618">
        <f t="shared" si="11"/>
        <v>0</v>
      </c>
      <c r="H226" s="716" t="str">
        <f>IF(H$26="012事務所建物",ROUND((H27+H27/(H$5-H$6)*H$6+H27/(H$5-H$6)*H$15)*$D$4,-3),"")</f>
        <v/>
      </c>
    </row>
    <row r="227" spans="1:8" ht="13.5" customHeight="1">
      <c r="A227" s="704"/>
      <c r="C227" s="706">
        <v>10501202</v>
      </c>
      <c r="D227" s="707" t="s">
        <v>642</v>
      </c>
      <c r="E227" s="708"/>
      <c r="F227" s="709"/>
      <c r="G227" s="618">
        <f t="shared" si="11"/>
        <v>0</v>
      </c>
      <c r="H227" s="716" t="str">
        <f t="shared" ref="H227:H250" si="12">IF(H$26="012事務所建物",ROUND((H28+H28/(H$5-H$6)*H$6+H28/(H$5-H$6)*H$15)*$D$4,-3),"")</f>
        <v/>
      </c>
    </row>
    <row r="228" spans="1:8" ht="13.5" customHeight="1">
      <c r="A228" s="704"/>
      <c r="C228" s="706">
        <v>10501203</v>
      </c>
      <c r="D228" s="707" t="s">
        <v>643</v>
      </c>
      <c r="E228" s="708"/>
      <c r="F228" s="709"/>
      <c r="G228" s="618">
        <f t="shared" si="11"/>
        <v>0</v>
      </c>
      <c r="H228" s="716" t="str">
        <f t="shared" si="12"/>
        <v/>
      </c>
    </row>
    <row r="229" spans="1:8" ht="13.5" customHeight="1">
      <c r="A229" s="704"/>
      <c r="C229" s="706">
        <v>10501204</v>
      </c>
      <c r="D229" s="707" t="s">
        <v>644</v>
      </c>
      <c r="E229" s="708"/>
      <c r="F229" s="709"/>
      <c r="G229" s="618">
        <f t="shared" si="11"/>
        <v>0</v>
      </c>
      <c r="H229" s="716" t="str">
        <f t="shared" si="12"/>
        <v/>
      </c>
    </row>
    <row r="230" spans="1:8" ht="13.5" customHeight="1">
      <c r="A230" s="704"/>
      <c r="C230" s="706">
        <v>10501205</v>
      </c>
      <c r="D230" s="707" t="s">
        <v>645</v>
      </c>
      <c r="E230" s="708"/>
      <c r="F230" s="709"/>
      <c r="G230" s="618">
        <f t="shared" si="11"/>
        <v>0</v>
      </c>
      <c r="H230" s="716" t="str">
        <f t="shared" si="12"/>
        <v/>
      </c>
    </row>
    <row r="231" spans="1:8" ht="13.5" customHeight="1">
      <c r="A231" s="704"/>
      <c r="C231" s="706">
        <v>10501206</v>
      </c>
      <c r="D231" s="707" t="s">
        <v>646</v>
      </c>
      <c r="E231" s="708"/>
      <c r="F231" s="709"/>
      <c r="G231" s="618">
        <f t="shared" si="11"/>
        <v>0</v>
      </c>
      <c r="H231" s="716" t="str">
        <f t="shared" si="12"/>
        <v/>
      </c>
    </row>
    <row r="232" spans="1:8" ht="13.5" customHeight="1">
      <c r="A232" s="704"/>
      <c r="C232" s="706">
        <v>10501207</v>
      </c>
      <c r="D232" s="707" t="s">
        <v>647</v>
      </c>
      <c r="E232" s="708"/>
      <c r="F232" s="709"/>
      <c r="G232" s="618">
        <f t="shared" si="11"/>
        <v>0</v>
      </c>
      <c r="H232" s="716" t="str">
        <f t="shared" si="12"/>
        <v/>
      </c>
    </row>
    <row r="233" spans="1:8" ht="13.5" customHeight="1">
      <c r="A233" s="704"/>
      <c r="C233" s="706">
        <v>10501208</v>
      </c>
      <c r="D233" s="707" t="s">
        <v>648</v>
      </c>
      <c r="E233" s="708"/>
      <c r="F233" s="709"/>
      <c r="G233" s="618">
        <f t="shared" si="11"/>
        <v>0</v>
      </c>
      <c r="H233" s="716" t="str">
        <f t="shared" si="12"/>
        <v/>
      </c>
    </row>
    <row r="234" spans="1:8" ht="13.5" customHeight="1">
      <c r="A234" s="704"/>
      <c r="C234" s="706">
        <v>10501209</v>
      </c>
      <c r="D234" s="707" t="s">
        <v>649</v>
      </c>
      <c r="E234" s="708"/>
      <c r="F234" s="709"/>
      <c r="G234" s="618">
        <f t="shared" si="11"/>
        <v>0</v>
      </c>
      <c r="H234" s="716" t="str">
        <f t="shared" si="12"/>
        <v/>
      </c>
    </row>
    <row r="235" spans="1:8" ht="13.5" customHeight="1">
      <c r="A235" s="704"/>
      <c r="C235" s="706">
        <v>10501210</v>
      </c>
      <c r="D235" s="707" t="s">
        <v>650</v>
      </c>
      <c r="E235" s="708"/>
      <c r="F235" s="709"/>
      <c r="G235" s="618">
        <f t="shared" si="11"/>
        <v>0</v>
      </c>
      <c r="H235" s="716" t="str">
        <f t="shared" si="12"/>
        <v/>
      </c>
    </row>
    <row r="236" spans="1:8" ht="13.5" customHeight="1">
      <c r="A236" s="704"/>
      <c r="C236" s="706">
        <v>10501211</v>
      </c>
      <c r="D236" s="707" t="s">
        <v>651</v>
      </c>
      <c r="E236" s="708"/>
      <c r="F236" s="709"/>
      <c r="G236" s="618">
        <f t="shared" si="11"/>
        <v>0</v>
      </c>
      <c r="H236" s="716" t="str">
        <f t="shared" si="12"/>
        <v/>
      </c>
    </row>
    <row r="237" spans="1:8" ht="13.5" customHeight="1">
      <c r="A237" s="704"/>
      <c r="C237" s="706">
        <v>10501212</v>
      </c>
      <c r="D237" s="707" t="s">
        <v>652</v>
      </c>
      <c r="E237" s="708"/>
      <c r="F237" s="709"/>
      <c r="G237" s="618">
        <f t="shared" si="11"/>
        <v>0</v>
      </c>
      <c r="H237" s="716" t="str">
        <f t="shared" si="12"/>
        <v/>
      </c>
    </row>
    <row r="238" spans="1:8" ht="13.5" customHeight="1">
      <c r="A238" s="704"/>
      <c r="C238" s="706">
        <v>10501213</v>
      </c>
      <c r="D238" s="707" t="s">
        <v>653</v>
      </c>
      <c r="E238" s="708"/>
      <c r="F238" s="709"/>
      <c r="G238" s="618">
        <f t="shared" si="11"/>
        <v>0</v>
      </c>
      <c r="H238" s="716" t="str">
        <f t="shared" si="12"/>
        <v/>
      </c>
    </row>
    <row r="239" spans="1:8" ht="13.5" customHeight="1">
      <c r="A239" s="704"/>
      <c r="C239" s="706">
        <v>10501214</v>
      </c>
      <c r="D239" s="707" t="s">
        <v>654</v>
      </c>
      <c r="E239" s="708"/>
      <c r="F239" s="709"/>
      <c r="G239" s="618">
        <f t="shared" si="11"/>
        <v>0</v>
      </c>
      <c r="H239" s="716" t="str">
        <f t="shared" si="12"/>
        <v/>
      </c>
    </row>
    <row r="240" spans="1:8" ht="13.5" customHeight="1">
      <c r="A240" s="704"/>
      <c r="C240" s="706">
        <v>10501215</v>
      </c>
      <c r="D240" s="707" t="s">
        <v>655</v>
      </c>
      <c r="E240" s="708"/>
      <c r="F240" s="709"/>
      <c r="G240" s="618">
        <f t="shared" si="11"/>
        <v>0</v>
      </c>
      <c r="H240" s="716" t="str">
        <f t="shared" si="12"/>
        <v/>
      </c>
    </row>
    <row r="241" spans="1:8" ht="13.5" customHeight="1">
      <c r="A241" s="704"/>
      <c r="C241" s="706">
        <v>10501216</v>
      </c>
      <c r="D241" s="707" t="s">
        <v>656</v>
      </c>
      <c r="E241" s="708"/>
      <c r="F241" s="709"/>
      <c r="G241" s="618">
        <f t="shared" si="11"/>
        <v>0</v>
      </c>
      <c r="H241" s="716" t="str">
        <f t="shared" si="12"/>
        <v/>
      </c>
    </row>
    <row r="242" spans="1:8" ht="13.5" customHeight="1">
      <c r="A242" s="704"/>
      <c r="C242" s="706">
        <v>10501217</v>
      </c>
      <c r="D242" s="707" t="s">
        <v>657</v>
      </c>
      <c r="E242" s="708"/>
      <c r="F242" s="709"/>
      <c r="G242" s="618">
        <f t="shared" si="11"/>
        <v>0</v>
      </c>
      <c r="H242" s="716" t="str">
        <f t="shared" si="12"/>
        <v/>
      </c>
    </row>
    <row r="243" spans="1:8" ht="13.5" customHeight="1">
      <c r="A243" s="704"/>
      <c r="C243" s="706">
        <v>10501218</v>
      </c>
      <c r="D243" s="707" t="s">
        <v>658</v>
      </c>
      <c r="E243" s="708"/>
      <c r="F243" s="709"/>
      <c r="G243" s="618">
        <f t="shared" si="11"/>
        <v>0</v>
      </c>
      <c r="H243" s="716" t="str">
        <f t="shared" si="12"/>
        <v/>
      </c>
    </row>
    <row r="244" spans="1:8" ht="13.5" customHeight="1">
      <c r="A244" s="704"/>
      <c r="C244" s="706">
        <v>10501219</v>
      </c>
      <c r="D244" s="707" t="s">
        <v>659</v>
      </c>
      <c r="E244" s="708"/>
      <c r="F244" s="709"/>
      <c r="G244" s="618">
        <f t="shared" si="11"/>
        <v>0</v>
      </c>
      <c r="H244" s="716" t="str">
        <f t="shared" si="12"/>
        <v/>
      </c>
    </row>
    <row r="245" spans="1:8" ht="13.5" customHeight="1">
      <c r="A245" s="704"/>
      <c r="C245" s="706">
        <v>10501220</v>
      </c>
      <c r="D245" s="707" t="s">
        <v>660</v>
      </c>
      <c r="E245" s="708"/>
      <c r="F245" s="709"/>
      <c r="G245" s="618">
        <f t="shared" si="11"/>
        <v>0</v>
      </c>
      <c r="H245" s="716" t="str">
        <f t="shared" si="12"/>
        <v/>
      </c>
    </row>
    <row r="246" spans="1:8" ht="13.5" customHeight="1">
      <c r="A246" s="704"/>
      <c r="C246" s="706">
        <v>10501221</v>
      </c>
      <c r="D246" s="707" t="s">
        <v>661</v>
      </c>
      <c r="E246" s="708"/>
      <c r="F246" s="709"/>
      <c r="G246" s="618">
        <f t="shared" si="11"/>
        <v>0</v>
      </c>
      <c r="H246" s="716" t="str">
        <f t="shared" si="12"/>
        <v/>
      </c>
    </row>
    <row r="247" spans="1:8" ht="13.5" customHeight="1">
      <c r="A247" s="704"/>
      <c r="C247" s="706">
        <v>10501222</v>
      </c>
      <c r="D247" s="707" t="s">
        <v>662</v>
      </c>
      <c r="E247" s="708"/>
      <c r="F247" s="709"/>
      <c r="G247" s="618">
        <f t="shared" si="11"/>
        <v>0</v>
      </c>
      <c r="H247" s="716" t="str">
        <f t="shared" si="12"/>
        <v/>
      </c>
    </row>
    <row r="248" spans="1:8" ht="13.5" customHeight="1">
      <c r="A248" s="704"/>
      <c r="C248" s="706">
        <v>10501223</v>
      </c>
      <c r="D248" s="707" t="s">
        <v>663</v>
      </c>
      <c r="E248" s="708"/>
      <c r="F248" s="709"/>
      <c r="G248" s="618">
        <f t="shared" si="11"/>
        <v>0</v>
      </c>
      <c r="H248" s="716" t="str">
        <f t="shared" si="12"/>
        <v/>
      </c>
    </row>
    <row r="249" spans="1:8" ht="13.5" customHeight="1">
      <c r="A249" s="704"/>
      <c r="C249" s="706">
        <v>10501224</v>
      </c>
      <c r="D249" s="707" t="s">
        <v>664</v>
      </c>
      <c r="E249" s="708"/>
      <c r="F249" s="709"/>
      <c r="G249" s="618">
        <f t="shared" si="11"/>
        <v>0</v>
      </c>
      <c r="H249" s="716" t="str">
        <f t="shared" si="12"/>
        <v/>
      </c>
    </row>
    <row r="250" spans="1:8" ht="13.5" customHeight="1">
      <c r="A250" s="704"/>
      <c r="C250" s="706">
        <v>10501225</v>
      </c>
      <c r="D250" s="707" t="s">
        <v>665</v>
      </c>
      <c r="E250" s="708"/>
      <c r="F250" s="709"/>
      <c r="G250" s="618">
        <f t="shared" si="11"/>
        <v>0</v>
      </c>
      <c r="H250" s="716" t="str">
        <f t="shared" si="12"/>
        <v/>
      </c>
    </row>
    <row r="251" spans="1:8" ht="13.5" customHeight="1">
      <c r="A251" s="704"/>
      <c r="B251" s="705"/>
      <c r="C251" s="711"/>
      <c r="D251" s="712"/>
      <c r="E251" s="713"/>
      <c r="F251" s="626"/>
      <c r="G251" s="714">
        <f t="shared" si="11"/>
        <v>0</v>
      </c>
      <c r="H251" s="715" t="str">
        <f>IF(H$26="012事務所建物",ROUND(H52+H52/(H$5-H$6)*H$6+H52/(H$5-H$6)*H$15,-3),"")</f>
        <v/>
      </c>
    </row>
    <row r="252" spans="1:8" ht="13.5" customHeight="1">
      <c r="A252" s="704"/>
      <c r="C252" s="706">
        <v>10501301</v>
      </c>
      <c r="D252" s="707" t="s">
        <v>666</v>
      </c>
      <c r="E252" s="708"/>
      <c r="F252" s="709"/>
      <c r="G252" s="618">
        <f t="shared" si="11"/>
        <v>0</v>
      </c>
      <c r="H252" s="716" t="str">
        <f>IF(H$26="013社宅及び寮建物",ROUND((H27+H27/(H$5-H$6)*H$6+H27/(H$5-H$6)*H$15)*$D$4,-3),"")</f>
        <v/>
      </c>
    </row>
    <row r="253" spans="1:8" ht="13.5" customHeight="1">
      <c r="A253" s="704"/>
      <c r="C253" s="706">
        <v>10501302</v>
      </c>
      <c r="D253" s="707" t="s">
        <v>667</v>
      </c>
      <c r="E253" s="708"/>
      <c r="F253" s="709"/>
      <c r="G253" s="618">
        <f t="shared" si="11"/>
        <v>0</v>
      </c>
      <c r="H253" s="716" t="str">
        <f t="shared" ref="H253:H276" si="13">IF(H$26="013社宅及び寮建物",ROUND((H28+H28/(H$5-H$6)*H$6+H28/(H$5-H$6)*H$15)*$D$4,-3),"")</f>
        <v/>
      </c>
    </row>
    <row r="254" spans="1:8" ht="13.5" customHeight="1">
      <c r="A254" s="704"/>
      <c r="C254" s="706">
        <v>10501303</v>
      </c>
      <c r="D254" s="707" t="s">
        <v>668</v>
      </c>
      <c r="E254" s="708"/>
      <c r="F254" s="709"/>
      <c r="G254" s="618">
        <f t="shared" si="11"/>
        <v>0</v>
      </c>
      <c r="H254" s="716" t="str">
        <f t="shared" si="13"/>
        <v/>
      </c>
    </row>
    <row r="255" spans="1:8" ht="13.5" customHeight="1">
      <c r="A255" s="704"/>
      <c r="C255" s="706">
        <v>10501304</v>
      </c>
      <c r="D255" s="707" t="s">
        <v>669</v>
      </c>
      <c r="E255" s="708"/>
      <c r="F255" s="709"/>
      <c r="G255" s="618">
        <f t="shared" si="11"/>
        <v>0</v>
      </c>
      <c r="H255" s="716" t="str">
        <f t="shared" si="13"/>
        <v/>
      </c>
    </row>
    <row r="256" spans="1:8" ht="13.5" customHeight="1">
      <c r="A256" s="704"/>
      <c r="C256" s="706">
        <v>10501305</v>
      </c>
      <c r="D256" s="707" t="s">
        <v>670</v>
      </c>
      <c r="E256" s="708"/>
      <c r="F256" s="709"/>
      <c r="G256" s="618">
        <f t="shared" si="11"/>
        <v>0</v>
      </c>
      <c r="H256" s="716" t="str">
        <f t="shared" si="13"/>
        <v/>
      </c>
    </row>
    <row r="257" spans="1:8" ht="13.5" customHeight="1">
      <c r="A257" s="704"/>
      <c r="C257" s="706">
        <v>10501306</v>
      </c>
      <c r="D257" s="707" t="s">
        <v>671</v>
      </c>
      <c r="E257" s="708"/>
      <c r="F257" s="709"/>
      <c r="G257" s="618">
        <f t="shared" si="11"/>
        <v>0</v>
      </c>
      <c r="H257" s="716" t="str">
        <f t="shared" si="13"/>
        <v/>
      </c>
    </row>
    <row r="258" spans="1:8" ht="13.5" customHeight="1">
      <c r="A258" s="704"/>
      <c r="C258" s="706">
        <v>10501307</v>
      </c>
      <c r="D258" s="707" t="s">
        <v>672</v>
      </c>
      <c r="E258" s="708"/>
      <c r="F258" s="709"/>
      <c r="G258" s="618">
        <f t="shared" si="11"/>
        <v>0</v>
      </c>
      <c r="H258" s="716" t="str">
        <f t="shared" si="13"/>
        <v/>
      </c>
    </row>
    <row r="259" spans="1:8" ht="13.5" customHeight="1">
      <c r="A259" s="704"/>
      <c r="C259" s="706">
        <v>10501308</v>
      </c>
      <c r="D259" s="707" t="s">
        <v>673</v>
      </c>
      <c r="E259" s="708"/>
      <c r="F259" s="709"/>
      <c r="G259" s="618">
        <f t="shared" si="11"/>
        <v>0</v>
      </c>
      <c r="H259" s="716" t="str">
        <f t="shared" si="13"/>
        <v/>
      </c>
    </row>
    <row r="260" spans="1:8" ht="13.5" customHeight="1">
      <c r="A260" s="704"/>
      <c r="C260" s="706">
        <v>10501309</v>
      </c>
      <c r="D260" s="707" t="s">
        <v>674</v>
      </c>
      <c r="E260" s="708"/>
      <c r="F260" s="709"/>
      <c r="G260" s="618">
        <f t="shared" si="11"/>
        <v>0</v>
      </c>
      <c r="H260" s="716" t="str">
        <f t="shared" si="13"/>
        <v/>
      </c>
    </row>
    <row r="261" spans="1:8" ht="13.5" customHeight="1">
      <c r="A261" s="704"/>
      <c r="C261" s="706">
        <v>10501310</v>
      </c>
      <c r="D261" s="707" t="s">
        <v>675</v>
      </c>
      <c r="E261" s="708"/>
      <c r="F261" s="709"/>
      <c r="G261" s="618">
        <f t="shared" si="11"/>
        <v>0</v>
      </c>
      <c r="H261" s="716" t="str">
        <f t="shared" si="13"/>
        <v/>
      </c>
    </row>
    <row r="262" spans="1:8" ht="13.5" customHeight="1">
      <c r="A262" s="704"/>
      <c r="C262" s="706">
        <v>10501311</v>
      </c>
      <c r="D262" s="707" t="s">
        <v>676</v>
      </c>
      <c r="E262" s="708"/>
      <c r="F262" s="709"/>
      <c r="G262" s="618">
        <f t="shared" si="11"/>
        <v>0</v>
      </c>
      <c r="H262" s="716" t="str">
        <f t="shared" si="13"/>
        <v/>
      </c>
    </row>
    <row r="263" spans="1:8" ht="13.5" customHeight="1">
      <c r="A263" s="704"/>
      <c r="C263" s="706">
        <v>10501312</v>
      </c>
      <c r="D263" s="707" t="s">
        <v>677</v>
      </c>
      <c r="E263" s="708"/>
      <c r="F263" s="709"/>
      <c r="G263" s="618">
        <f t="shared" si="11"/>
        <v>0</v>
      </c>
      <c r="H263" s="716" t="str">
        <f t="shared" si="13"/>
        <v/>
      </c>
    </row>
    <row r="264" spans="1:8" ht="13.5" customHeight="1">
      <c r="A264" s="704"/>
      <c r="C264" s="706">
        <v>10501313</v>
      </c>
      <c r="D264" s="707" t="s">
        <v>678</v>
      </c>
      <c r="E264" s="708"/>
      <c r="F264" s="709"/>
      <c r="G264" s="618">
        <f t="shared" si="11"/>
        <v>0</v>
      </c>
      <c r="H264" s="716" t="str">
        <f t="shared" si="13"/>
        <v/>
      </c>
    </row>
    <row r="265" spans="1:8" ht="13.5" customHeight="1">
      <c r="A265" s="704"/>
      <c r="C265" s="706">
        <v>10501314</v>
      </c>
      <c r="D265" s="707" t="s">
        <v>679</v>
      </c>
      <c r="E265" s="708"/>
      <c r="F265" s="709"/>
      <c r="G265" s="618">
        <f t="shared" si="11"/>
        <v>0</v>
      </c>
      <c r="H265" s="716" t="str">
        <f t="shared" si="13"/>
        <v/>
      </c>
    </row>
    <row r="266" spans="1:8" ht="13.5" customHeight="1">
      <c r="A266" s="704"/>
      <c r="C266" s="706">
        <v>10501315</v>
      </c>
      <c r="D266" s="707" t="s">
        <v>680</v>
      </c>
      <c r="E266" s="708"/>
      <c r="F266" s="709"/>
      <c r="G266" s="618">
        <f t="shared" si="11"/>
        <v>0</v>
      </c>
      <c r="H266" s="716" t="str">
        <f t="shared" si="13"/>
        <v/>
      </c>
    </row>
    <row r="267" spans="1:8" ht="13.5" customHeight="1">
      <c r="A267" s="704"/>
      <c r="C267" s="706">
        <v>10501316</v>
      </c>
      <c r="D267" s="707" t="s">
        <v>681</v>
      </c>
      <c r="E267" s="708"/>
      <c r="F267" s="709"/>
      <c r="G267" s="618">
        <f t="shared" si="11"/>
        <v>0</v>
      </c>
      <c r="H267" s="716" t="str">
        <f t="shared" si="13"/>
        <v/>
      </c>
    </row>
    <row r="268" spans="1:8" ht="13.5" customHeight="1">
      <c r="A268" s="704"/>
      <c r="C268" s="706">
        <v>10501317</v>
      </c>
      <c r="D268" s="707" t="s">
        <v>682</v>
      </c>
      <c r="E268" s="708"/>
      <c r="F268" s="709"/>
      <c r="G268" s="618">
        <f t="shared" si="11"/>
        <v>0</v>
      </c>
      <c r="H268" s="716" t="str">
        <f t="shared" si="13"/>
        <v/>
      </c>
    </row>
    <row r="269" spans="1:8" ht="13.5" customHeight="1">
      <c r="A269" s="704"/>
      <c r="C269" s="706">
        <v>10501318</v>
      </c>
      <c r="D269" s="707" t="s">
        <v>683</v>
      </c>
      <c r="E269" s="708"/>
      <c r="F269" s="709"/>
      <c r="G269" s="618">
        <f t="shared" si="11"/>
        <v>0</v>
      </c>
      <c r="H269" s="716" t="str">
        <f t="shared" si="13"/>
        <v/>
      </c>
    </row>
    <row r="270" spans="1:8" ht="13.5" customHeight="1">
      <c r="A270" s="704"/>
      <c r="C270" s="706">
        <v>10501319</v>
      </c>
      <c r="D270" s="707" t="s">
        <v>684</v>
      </c>
      <c r="E270" s="708"/>
      <c r="F270" s="709"/>
      <c r="G270" s="618">
        <f t="shared" si="11"/>
        <v>0</v>
      </c>
      <c r="H270" s="716" t="str">
        <f t="shared" si="13"/>
        <v/>
      </c>
    </row>
    <row r="271" spans="1:8" ht="13.5" customHeight="1">
      <c r="A271" s="704"/>
      <c r="C271" s="706">
        <v>10501320</v>
      </c>
      <c r="D271" s="707" t="s">
        <v>685</v>
      </c>
      <c r="E271" s="708"/>
      <c r="F271" s="709"/>
      <c r="G271" s="618">
        <f t="shared" si="11"/>
        <v>0</v>
      </c>
      <c r="H271" s="716" t="str">
        <f t="shared" si="13"/>
        <v/>
      </c>
    </row>
    <row r="272" spans="1:8" ht="13.5" customHeight="1">
      <c r="A272" s="704"/>
      <c r="C272" s="706">
        <v>10501321</v>
      </c>
      <c r="D272" s="707" t="s">
        <v>686</v>
      </c>
      <c r="E272" s="708"/>
      <c r="F272" s="709"/>
      <c r="G272" s="618">
        <f t="shared" si="11"/>
        <v>0</v>
      </c>
      <c r="H272" s="716" t="str">
        <f t="shared" si="13"/>
        <v/>
      </c>
    </row>
    <row r="273" spans="1:9" ht="13.5" customHeight="1">
      <c r="A273" s="704"/>
      <c r="C273" s="706">
        <v>10501322</v>
      </c>
      <c r="D273" s="707" t="s">
        <v>687</v>
      </c>
      <c r="E273" s="708"/>
      <c r="F273" s="709"/>
      <c r="G273" s="618">
        <f t="shared" si="11"/>
        <v>0</v>
      </c>
      <c r="H273" s="716" t="str">
        <f t="shared" si="13"/>
        <v/>
      </c>
    </row>
    <row r="274" spans="1:9" ht="13.5" customHeight="1">
      <c r="A274" s="704"/>
      <c r="C274" s="706">
        <v>10501323</v>
      </c>
      <c r="D274" s="707" t="s">
        <v>688</v>
      </c>
      <c r="E274" s="708"/>
      <c r="F274" s="709"/>
      <c r="G274" s="618">
        <f t="shared" si="11"/>
        <v>0</v>
      </c>
      <c r="H274" s="716" t="str">
        <f t="shared" si="13"/>
        <v/>
      </c>
    </row>
    <row r="275" spans="1:9" ht="13.5" customHeight="1">
      <c r="A275" s="704"/>
      <c r="C275" s="706">
        <v>10501324</v>
      </c>
      <c r="D275" s="707" t="s">
        <v>689</v>
      </c>
      <c r="E275" s="708"/>
      <c r="F275" s="709"/>
      <c r="G275" s="618">
        <f t="shared" si="11"/>
        <v>0</v>
      </c>
      <c r="H275" s="716" t="str">
        <f t="shared" si="13"/>
        <v/>
      </c>
    </row>
    <row r="276" spans="1:9" ht="13.5" customHeight="1">
      <c r="A276" s="704"/>
      <c r="C276" s="706">
        <v>10501325</v>
      </c>
      <c r="D276" s="707" t="s">
        <v>690</v>
      </c>
      <c r="E276" s="708"/>
      <c r="F276" s="709"/>
      <c r="G276" s="618">
        <f t="shared" si="11"/>
        <v>0</v>
      </c>
      <c r="H276" s="716" t="str">
        <f t="shared" si="13"/>
        <v/>
      </c>
    </row>
    <row r="277" spans="1:9" ht="13.5" customHeight="1">
      <c r="A277" s="704"/>
      <c r="B277" s="705"/>
      <c r="C277" s="711"/>
      <c r="D277" s="712"/>
      <c r="E277" s="713"/>
      <c r="F277" s="626"/>
      <c r="G277" s="714">
        <f t="shared" si="11"/>
        <v>0</v>
      </c>
      <c r="H277" s="717" t="str">
        <f>IF(H$26="013社宅及び寮建物",ROUND(H52+H52/(H$5-H$6)*H$6+H52/(H$5-H$6)*H$15,-3),"")</f>
        <v/>
      </c>
    </row>
    <row r="278" spans="1:9" s="723" customFormat="1" ht="13.5" customHeight="1">
      <c r="A278" s="718"/>
      <c r="B278" s="719"/>
      <c r="C278" s="719"/>
      <c r="D278" s="719"/>
      <c r="E278" s="719"/>
      <c r="F278" s="720" t="s">
        <v>2494</v>
      </c>
      <c r="G278" s="721" t="e">
        <f t="shared" ca="1" si="11"/>
        <v>#REF!</v>
      </c>
      <c r="H278" s="722" t="e">
        <f ca="1">IF(H4="費用",0,SUM(H96:H277))</f>
        <v>#REF!</v>
      </c>
      <c r="I278" s="532"/>
    </row>
    <row r="279" spans="1:9" s="532" customFormat="1" ht="13.5" customHeight="1">
      <c r="A279" s="704"/>
      <c r="B279" s="533"/>
      <c r="C279" s="700">
        <v>11002401</v>
      </c>
      <c r="D279" s="707" t="s">
        <v>691</v>
      </c>
      <c r="E279" s="708"/>
      <c r="F279" s="709"/>
      <c r="G279" s="622">
        <f t="shared" si="11"/>
        <v>0</v>
      </c>
      <c r="H279" s="623" t="str">
        <f>IF(H57="","",ROUND((H57+H57/(H$5-H$6)*H$6+H57/(H$5-H$6)*H$15)*$D$4,-3))</f>
        <v/>
      </c>
    </row>
    <row r="280" spans="1:9" s="532" customFormat="1" ht="13.5" customHeight="1">
      <c r="A280" s="704"/>
      <c r="B280" s="533"/>
      <c r="C280" s="700">
        <v>11002402</v>
      </c>
      <c r="D280" s="707" t="s">
        <v>692</v>
      </c>
      <c r="E280" s="708"/>
      <c r="F280" s="709"/>
      <c r="G280" s="622">
        <f t="shared" si="11"/>
        <v>0</v>
      </c>
      <c r="H280" s="774" t="str">
        <f>IF(H58="","",ROUND((H58+H58/(H$5-H$6)*H$6+H58/(H$5-H$6)*H$15)*$D$4,-3))</f>
        <v/>
      </c>
    </row>
    <row r="281" spans="1:9" s="532" customFormat="1" ht="13.5" customHeight="1">
      <c r="A281" s="704"/>
      <c r="B281" s="724"/>
      <c r="C281" s="706">
        <v>11004901</v>
      </c>
      <c r="D281" s="707" t="s">
        <v>693</v>
      </c>
      <c r="E281" s="708"/>
      <c r="F281" s="709"/>
      <c r="G281" s="618">
        <f t="shared" si="11"/>
        <v>0</v>
      </c>
      <c r="H281" s="716" t="str">
        <f>IF(H62="","",ROUND((H62+H62/(H$5-H$6)*H$6+H62/(H$5-H$6)*H$15)*$D$4,-3))</f>
        <v/>
      </c>
    </row>
    <row r="282" spans="1:9" s="532" customFormat="1" ht="13.5" customHeight="1">
      <c r="A282" s="704"/>
      <c r="B282" s="724"/>
      <c r="C282" s="706">
        <v>11004902</v>
      </c>
      <c r="D282" s="707" t="s">
        <v>694</v>
      </c>
      <c r="E282" s="708"/>
      <c r="F282" s="709"/>
      <c r="G282" s="618">
        <f t="shared" si="11"/>
        <v>0</v>
      </c>
      <c r="H282" s="716" t="str">
        <f t="shared" ref="H282:H291" si="14">IF(H63="","",ROUND((H63+H63/(H$5-H$6)*H$6+H63/(H$5-H$6)*H$15)*$D$4,-3))</f>
        <v/>
      </c>
    </row>
    <row r="283" spans="1:9" s="532" customFormat="1" ht="13.5" customHeight="1">
      <c r="A283" s="704"/>
      <c r="B283" s="724"/>
      <c r="C283" s="706">
        <v>11004903</v>
      </c>
      <c r="D283" s="707" t="s">
        <v>695</v>
      </c>
      <c r="E283" s="708"/>
      <c r="F283" s="709"/>
      <c r="G283" s="618">
        <f t="shared" si="11"/>
        <v>0</v>
      </c>
      <c r="H283" s="716" t="str">
        <f t="shared" si="14"/>
        <v/>
      </c>
    </row>
    <row r="284" spans="1:9" s="532" customFormat="1" ht="13.5" customHeight="1">
      <c r="A284" s="704"/>
      <c r="B284" s="724"/>
      <c r="C284" s="706">
        <v>11004904</v>
      </c>
      <c r="D284" s="707" t="s">
        <v>696</v>
      </c>
      <c r="E284" s="708"/>
      <c r="F284" s="709"/>
      <c r="G284" s="618">
        <f t="shared" si="11"/>
        <v>0</v>
      </c>
      <c r="H284" s="716" t="str">
        <f t="shared" si="14"/>
        <v/>
      </c>
    </row>
    <row r="285" spans="1:9" s="532" customFormat="1" ht="13.5" customHeight="1">
      <c r="A285" s="704"/>
      <c r="B285" s="724"/>
      <c r="C285" s="706">
        <v>11004905</v>
      </c>
      <c r="D285" s="707" t="s">
        <v>697</v>
      </c>
      <c r="E285" s="708"/>
      <c r="F285" s="709"/>
      <c r="G285" s="618">
        <f t="shared" si="11"/>
        <v>0</v>
      </c>
      <c r="H285" s="716" t="str">
        <f t="shared" si="14"/>
        <v/>
      </c>
    </row>
    <row r="286" spans="1:9" s="532" customFormat="1" ht="13.5" customHeight="1">
      <c r="A286" s="704"/>
      <c r="B286" s="724"/>
      <c r="C286" s="706">
        <v>11004906</v>
      </c>
      <c r="D286" s="707" t="s">
        <v>698</v>
      </c>
      <c r="E286" s="708"/>
      <c r="F286" s="709"/>
      <c r="G286" s="618">
        <f t="shared" si="11"/>
        <v>0</v>
      </c>
      <c r="H286" s="716" t="str">
        <f t="shared" si="14"/>
        <v/>
      </c>
    </row>
    <row r="287" spans="1:9" s="532" customFormat="1" ht="13.5" customHeight="1">
      <c r="A287" s="704"/>
      <c r="B287" s="724"/>
      <c r="C287" s="706">
        <v>11004907</v>
      </c>
      <c r="D287" s="707" t="s">
        <v>699</v>
      </c>
      <c r="E287" s="708"/>
      <c r="F287" s="709"/>
      <c r="G287" s="618">
        <f t="shared" si="11"/>
        <v>0</v>
      </c>
      <c r="H287" s="716" t="str">
        <f t="shared" si="14"/>
        <v/>
      </c>
    </row>
    <row r="288" spans="1:9" s="532" customFormat="1" ht="13.5" customHeight="1">
      <c r="A288" s="704"/>
      <c r="B288" s="724"/>
      <c r="C288" s="706">
        <v>11004908</v>
      </c>
      <c r="D288" s="707" t="s">
        <v>700</v>
      </c>
      <c r="E288" s="708"/>
      <c r="F288" s="709"/>
      <c r="G288" s="618">
        <f t="shared" ref="G288:G313" si="15">SUM(H288:I288)</f>
        <v>0</v>
      </c>
      <c r="H288" s="716" t="str">
        <f t="shared" si="14"/>
        <v/>
      </c>
    </row>
    <row r="289" spans="1:8" s="532" customFormat="1" ht="13.5" customHeight="1">
      <c r="A289" s="704"/>
      <c r="B289" s="724"/>
      <c r="C289" s="706">
        <v>11004909</v>
      </c>
      <c r="D289" s="707" t="s">
        <v>701</v>
      </c>
      <c r="E289" s="708"/>
      <c r="F289" s="709"/>
      <c r="G289" s="618">
        <f t="shared" si="15"/>
        <v>0</v>
      </c>
      <c r="H289" s="716" t="str">
        <f t="shared" si="14"/>
        <v/>
      </c>
    </row>
    <row r="290" spans="1:8" s="532" customFormat="1" ht="13.5" customHeight="1">
      <c r="A290" s="704"/>
      <c r="B290" s="724"/>
      <c r="C290" s="706">
        <v>11004910</v>
      </c>
      <c r="D290" s="707" t="s">
        <v>702</v>
      </c>
      <c r="E290" s="708"/>
      <c r="F290" s="709"/>
      <c r="G290" s="618">
        <f t="shared" si="15"/>
        <v>0</v>
      </c>
      <c r="H290" s="716" t="str">
        <f t="shared" si="14"/>
        <v/>
      </c>
    </row>
    <row r="291" spans="1:8" s="532" customFormat="1" ht="13.5" customHeight="1">
      <c r="A291" s="704"/>
      <c r="B291" s="724"/>
      <c r="C291" s="706">
        <v>11004911</v>
      </c>
      <c r="D291" s="707" t="s">
        <v>703</v>
      </c>
      <c r="E291" s="708"/>
      <c r="F291" s="709"/>
      <c r="G291" s="618">
        <f t="shared" si="15"/>
        <v>0</v>
      </c>
      <c r="H291" s="773" t="str">
        <f t="shared" si="14"/>
        <v/>
      </c>
    </row>
    <row r="292" spans="1:8" s="532" customFormat="1" ht="13.5" customHeight="1">
      <c r="A292" s="704"/>
      <c r="B292" s="724"/>
      <c r="C292" s="706">
        <v>11005001</v>
      </c>
      <c r="D292" s="707" t="s">
        <v>704</v>
      </c>
      <c r="E292" s="708"/>
      <c r="F292" s="709"/>
      <c r="G292" s="618">
        <f t="shared" si="15"/>
        <v>0</v>
      </c>
      <c r="H292" s="716" t="str">
        <f>IF(H$60="050変電所構築物",ROUND((H62+H62/(H$5-H$6)*H$6+H62/(H$5-H$6)*H$15)*$D$4,-3),"")</f>
        <v/>
      </c>
    </row>
    <row r="293" spans="1:8" s="532" customFormat="1" ht="13.5" customHeight="1">
      <c r="A293" s="704"/>
      <c r="B293" s="724"/>
      <c r="C293" s="706">
        <v>11005002</v>
      </c>
      <c r="D293" s="707" t="s">
        <v>705</v>
      </c>
      <c r="E293" s="708"/>
      <c r="F293" s="709"/>
      <c r="G293" s="618">
        <f t="shared" si="15"/>
        <v>0</v>
      </c>
      <c r="H293" s="716" t="str">
        <f t="shared" ref="H293:H302" si="16">IF(H$60="050変電所構築物",ROUND((H63+H63/(H$5-H$6)*H$6+H63/(H$5-H$6)*H$15)*$D$4,-3),"")</f>
        <v/>
      </c>
    </row>
    <row r="294" spans="1:8" s="532" customFormat="1" ht="13.5" customHeight="1">
      <c r="A294" s="704"/>
      <c r="B294" s="724"/>
      <c r="C294" s="706">
        <v>11005003</v>
      </c>
      <c r="D294" s="707" t="s">
        <v>706</v>
      </c>
      <c r="E294" s="708"/>
      <c r="F294" s="709"/>
      <c r="G294" s="618">
        <f t="shared" si="15"/>
        <v>0</v>
      </c>
      <c r="H294" s="716" t="str">
        <f t="shared" si="16"/>
        <v/>
      </c>
    </row>
    <row r="295" spans="1:8" s="532" customFormat="1" ht="13.5" customHeight="1">
      <c r="A295" s="704"/>
      <c r="B295" s="724"/>
      <c r="C295" s="706">
        <v>11005004</v>
      </c>
      <c r="D295" s="707" t="s">
        <v>707</v>
      </c>
      <c r="E295" s="708"/>
      <c r="F295" s="709"/>
      <c r="G295" s="618">
        <f t="shared" si="15"/>
        <v>0</v>
      </c>
      <c r="H295" s="716" t="str">
        <f t="shared" si="16"/>
        <v/>
      </c>
    </row>
    <row r="296" spans="1:8" s="532" customFormat="1" ht="13.5" customHeight="1">
      <c r="A296" s="704"/>
      <c r="B296" s="724"/>
      <c r="C296" s="706">
        <v>11005005</v>
      </c>
      <c r="D296" s="707" t="s">
        <v>708</v>
      </c>
      <c r="E296" s="708"/>
      <c r="F296" s="709"/>
      <c r="G296" s="618">
        <f t="shared" si="15"/>
        <v>0</v>
      </c>
      <c r="H296" s="716" t="str">
        <f t="shared" si="16"/>
        <v/>
      </c>
    </row>
    <row r="297" spans="1:8" s="532" customFormat="1" ht="13.5" customHeight="1">
      <c r="A297" s="704"/>
      <c r="B297" s="724"/>
      <c r="C297" s="706">
        <v>11005006</v>
      </c>
      <c r="D297" s="707" t="s">
        <v>709</v>
      </c>
      <c r="E297" s="708"/>
      <c r="F297" s="709"/>
      <c r="G297" s="618">
        <f t="shared" si="15"/>
        <v>0</v>
      </c>
      <c r="H297" s="716" t="str">
        <f t="shared" si="16"/>
        <v/>
      </c>
    </row>
    <row r="298" spans="1:8" s="532" customFormat="1" ht="13.5" customHeight="1">
      <c r="A298" s="704"/>
      <c r="B298" s="724"/>
      <c r="C298" s="706">
        <v>11005007</v>
      </c>
      <c r="D298" s="707" t="s">
        <v>710</v>
      </c>
      <c r="E298" s="708"/>
      <c r="F298" s="709"/>
      <c r="G298" s="618">
        <f t="shared" si="15"/>
        <v>0</v>
      </c>
      <c r="H298" s="716" t="str">
        <f t="shared" si="16"/>
        <v/>
      </c>
    </row>
    <row r="299" spans="1:8" s="532" customFormat="1" ht="13.5" customHeight="1">
      <c r="A299" s="704"/>
      <c r="B299" s="724"/>
      <c r="C299" s="706">
        <v>11005008</v>
      </c>
      <c r="D299" s="707" t="s">
        <v>711</v>
      </c>
      <c r="E299" s="708"/>
      <c r="F299" s="709"/>
      <c r="G299" s="618">
        <f t="shared" si="15"/>
        <v>0</v>
      </c>
      <c r="H299" s="716" t="str">
        <f t="shared" si="16"/>
        <v/>
      </c>
    </row>
    <row r="300" spans="1:8" s="532" customFormat="1" ht="13.5" customHeight="1">
      <c r="A300" s="704"/>
      <c r="B300" s="724"/>
      <c r="C300" s="706">
        <v>11005009</v>
      </c>
      <c r="D300" s="707" t="s">
        <v>712</v>
      </c>
      <c r="E300" s="708"/>
      <c r="F300" s="709"/>
      <c r="G300" s="618">
        <f t="shared" si="15"/>
        <v>0</v>
      </c>
      <c r="H300" s="716" t="str">
        <f t="shared" si="16"/>
        <v/>
      </c>
    </row>
    <row r="301" spans="1:8" s="532" customFormat="1" ht="13.5" customHeight="1">
      <c r="A301" s="704"/>
      <c r="B301" s="724"/>
      <c r="C301" s="706">
        <v>11005010</v>
      </c>
      <c r="D301" s="707" t="s">
        <v>713</v>
      </c>
      <c r="E301" s="708"/>
      <c r="F301" s="709"/>
      <c r="G301" s="618">
        <f t="shared" si="15"/>
        <v>0</v>
      </c>
      <c r="H301" s="716" t="str">
        <f t="shared" si="16"/>
        <v/>
      </c>
    </row>
    <row r="302" spans="1:8" s="532" customFormat="1" ht="13.5" customHeight="1">
      <c r="A302" s="704"/>
      <c r="B302" s="724"/>
      <c r="C302" s="706">
        <v>11005011</v>
      </c>
      <c r="D302" s="707" t="s">
        <v>714</v>
      </c>
      <c r="E302" s="708"/>
      <c r="F302" s="709"/>
      <c r="G302" s="618">
        <f t="shared" si="15"/>
        <v>0</v>
      </c>
      <c r="H302" s="716" t="str">
        <f t="shared" si="16"/>
        <v/>
      </c>
    </row>
    <row r="303" spans="1:8" s="532" customFormat="1" ht="13.5" customHeight="1">
      <c r="A303" s="704"/>
      <c r="B303" s="724"/>
      <c r="C303" s="706">
        <v>11099901</v>
      </c>
      <c r="D303" s="707" t="s">
        <v>715</v>
      </c>
      <c r="E303" s="708"/>
      <c r="F303" s="709"/>
      <c r="G303" s="618">
        <f t="shared" si="15"/>
        <v>0</v>
      </c>
      <c r="H303" s="716" t="str">
        <f>IF(H$60="999雑構築物",ROUND((H62+H62/(H$5-H$6)*H$6+H62/(H$5-H$6)*H$15)*$D$4,-3),"")</f>
        <v/>
      </c>
    </row>
    <row r="304" spans="1:8" s="532" customFormat="1" ht="13.5" customHeight="1">
      <c r="A304" s="704"/>
      <c r="B304" s="724"/>
      <c r="C304" s="706">
        <v>11099902</v>
      </c>
      <c r="D304" s="707" t="s">
        <v>716</v>
      </c>
      <c r="E304" s="708"/>
      <c r="F304" s="709"/>
      <c r="G304" s="618">
        <f t="shared" si="15"/>
        <v>0</v>
      </c>
      <c r="H304" s="716" t="str">
        <f t="shared" ref="H304:H313" si="17">IF(H$60="999雑構築物",ROUND((H63+H63/(H$5-H$6)*H$6+H63/(H$5-H$6)*H$15)*$D$4,-3),"")</f>
        <v/>
      </c>
    </row>
    <row r="305" spans="1:9" s="532" customFormat="1" ht="13.5" customHeight="1">
      <c r="A305" s="704"/>
      <c r="B305" s="724"/>
      <c r="C305" s="706">
        <v>11099903</v>
      </c>
      <c r="D305" s="707" t="s">
        <v>717</v>
      </c>
      <c r="E305" s="708"/>
      <c r="F305" s="709"/>
      <c r="G305" s="618">
        <f t="shared" si="15"/>
        <v>0</v>
      </c>
      <c r="H305" s="716" t="str">
        <f t="shared" si="17"/>
        <v/>
      </c>
    </row>
    <row r="306" spans="1:9" s="532" customFormat="1" ht="13.5" customHeight="1">
      <c r="A306" s="704"/>
      <c r="B306" s="724"/>
      <c r="C306" s="706">
        <v>11099904</v>
      </c>
      <c r="D306" s="707" t="s">
        <v>718</v>
      </c>
      <c r="E306" s="708"/>
      <c r="F306" s="709"/>
      <c r="G306" s="618">
        <f t="shared" si="15"/>
        <v>0</v>
      </c>
      <c r="H306" s="716" t="str">
        <f t="shared" si="17"/>
        <v/>
      </c>
    </row>
    <row r="307" spans="1:9" s="532" customFormat="1" ht="13.5" customHeight="1">
      <c r="A307" s="704"/>
      <c r="B307" s="724"/>
      <c r="C307" s="706">
        <v>11099905</v>
      </c>
      <c r="D307" s="707" t="s">
        <v>719</v>
      </c>
      <c r="E307" s="708"/>
      <c r="F307" s="709"/>
      <c r="G307" s="618">
        <f t="shared" si="15"/>
        <v>0</v>
      </c>
      <c r="H307" s="716" t="str">
        <f t="shared" si="17"/>
        <v/>
      </c>
    </row>
    <row r="308" spans="1:9" s="532" customFormat="1" ht="13.5" customHeight="1">
      <c r="A308" s="704"/>
      <c r="B308" s="724"/>
      <c r="C308" s="706">
        <v>11099906</v>
      </c>
      <c r="D308" s="707" t="s">
        <v>720</v>
      </c>
      <c r="E308" s="708"/>
      <c r="F308" s="709"/>
      <c r="G308" s="618">
        <f t="shared" si="15"/>
        <v>0</v>
      </c>
      <c r="H308" s="716" t="str">
        <f t="shared" si="17"/>
        <v/>
      </c>
    </row>
    <row r="309" spans="1:9" s="532" customFormat="1" ht="13.5" customHeight="1">
      <c r="A309" s="704"/>
      <c r="B309" s="724"/>
      <c r="C309" s="706">
        <v>11099907</v>
      </c>
      <c r="D309" s="707" t="s">
        <v>721</v>
      </c>
      <c r="E309" s="708"/>
      <c r="F309" s="709"/>
      <c r="G309" s="618">
        <f t="shared" si="15"/>
        <v>0</v>
      </c>
      <c r="H309" s="716" t="str">
        <f t="shared" si="17"/>
        <v/>
      </c>
    </row>
    <row r="310" spans="1:9" s="532" customFormat="1" ht="13.5" customHeight="1">
      <c r="A310" s="704"/>
      <c r="B310" s="724"/>
      <c r="C310" s="706">
        <v>11099908</v>
      </c>
      <c r="D310" s="707" t="s">
        <v>722</v>
      </c>
      <c r="E310" s="708"/>
      <c r="F310" s="709"/>
      <c r="G310" s="618">
        <f t="shared" si="15"/>
        <v>0</v>
      </c>
      <c r="H310" s="710" t="str">
        <f t="shared" si="17"/>
        <v/>
      </c>
    </row>
    <row r="311" spans="1:9" s="532" customFormat="1" ht="13.5" customHeight="1">
      <c r="A311" s="704"/>
      <c r="B311" s="724"/>
      <c r="C311" s="706">
        <v>11099909</v>
      </c>
      <c r="D311" s="707" t="s">
        <v>723</v>
      </c>
      <c r="E311" s="708"/>
      <c r="F311" s="709"/>
      <c r="G311" s="618">
        <f t="shared" si="15"/>
        <v>0</v>
      </c>
      <c r="H311" s="716" t="str">
        <f t="shared" si="17"/>
        <v/>
      </c>
    </row>
    <row r="312" spans="1:9" s="532" customFormat="1" ht="13.5" customHeight="1">
      <c r="A312" s="704"/>
      <c r="B312" s="724"/>
      <c r="C312" s="706">
        <v>11099910</v>
      </c>
      <c r="D312" s="707" t="s">
        <v>724</v>
      </c>
      <c r="E312" s="708"/>
      <c r="F312" s="709"/>
      <c r="G312" s="618">
        <f t="shared" si="15"/>
        <v>0</v>
      </c>
      <c r="H312" s="716" t="str">
        <f t="shared" si="17"/>
        <v/>
      </c>
    </row>
    <row r="313" spans="1:9" s="532" customFormat="1" ht="13.5" customHeight="1">
      <c r="A313" s="704"/>
      <c r="B313" s="724"/>
      <c r="C313" s="706">
        <v>11099911</v>
      </c>
      <c r="D313" s="707" t="s">
        <v>725</v>
      </c>
      <c r="E313" s="708"/>
      <c r="F313" s="709"/>
      <c r="G313" s="618">
        <f t="shared" si="15"/>
        <v>0</v>
      </c>
      <c r="H313" s="716" t="str">
        <f t="shared" si="17"/>
        <v/>
      </c>
    </row>
    <row r="314" spans="1:9" s="723" customFormat="1" ht="13.5" customHeight="1">
      <c r="A314" s="718"/>
      <c r="B314" s="719"/>
      <c r="C314" s="719"/>
      <c r="D314" s="719"/>
      <c r="E314" s="719"/>
      <c r="F314" s="720" t="s">
        <v>2495</v>
      </c>
      <c r="G314" s="721">
        <f t="shared" ref="G314:G328" si="18">SUM(H314:I314)</f>
        <v>0</v>
      </c>
      <c r="H314" s="725">
        <f>IF(H4="費用",0,SUM(H279:H313))</f>
        <v>0</v>
      </c>
      <c r="I314" s="532"/>
    </row>
    <row r="315" spans="1:9" ht="13.5" customHeight="1">
      <c r="A315" s="538"/>
      <c r="B315" s="608"/>
      <c r="C315" s="726">
        <v>12505958</v>
      </c>
      <c r="D315" s="727" t="str">
        <f>+F78</f>
        <v>看板・広告機器-(主として金属製)</v>
      </c>
      <c r="E315" s="727"/>
      <c r="F315" s="610"/>
      <c r="G315" s="613" t="e">
        <f t="shared" ca="1" si="18"/>
        <v>#REF!</v>
      </c>
      <c r="H315" s="710" t="e">
        <f ca="1">IF(H78="","",ROUND((H78+H78/(H$5-H$6)*H$6+H78/(H$5-H$6)*H$15)*$D$4,-3))</f>
        <v>#REF!</v>
      </c>
    </row>
    <row r="316" spans="1:9" ht="13.5" customHeight="1">
      <c r="A316" s="538"/>
      <c r="B316" s="608"/>
      <c r="C316" s="728">
        <v>12505959</v>
      </c>
      <c r="D316" s="729" t="str">
        <f>+F84</f>
        <v>看板・広告機器-その他のもの</v>
      </c>
      <c r="E316" s="729"/>
      <c r="F316" s="615"/>
      <c r="G316" s="618" t="e">
        <f t="shared" ca="1" si="18"/>
        <v>#REF!</v>
      </c>
      <c r="H316" s="710" t="e">
        <f ca="1">IF(H84="","",ROUND((H84+H84/(H$5-H$6)*H$6+H84/(H$5-H$6)*H$15)*$D$4,-3))</f>
        <v>#REF!</v>
      </c>
    </row>
    <row r="317" spans="1:9" ht="13.5" customHeight="1">
      <c r="A317" s="538"/>
      <c r="B317" s="608"/>
      <c r="C317" s="730">
        <v>12505988</v>
      </c>
      <c r="D317" s="729" t="s">
        <v>507</v>
      </c>
      <c r="E317" s="729"/>
      <c r="F317" s="615"/>
      <c r="G317" s="618" t="e">
        <f t="shared" ca="1" si="18"/>
        <v>#REF!</v>
      </c>
      <c r="H317" s="623" t="e">
        <f ca="1">IF(H87="","",ROUND((H87+H87/(H$5-H$6)*H$6+H87/(H$5-H$6)*H$15)*$D$4,-3))</f>
        <v>#REF!</v>
      </c>
    </row>
    <row r="318" spans="1:9" ht="13.5" customHeight="1">
      <c r="A318" s="538"/>
      <c r="B318" s="608"/>
      <c r="C318" s="730">
        <v>12505990</v>
      </c>
      <c r="D318" s="729" t="s">
        <v>509</v>
      </c>
      <c r="E318" s="729"/>
      <c r="F318" s="615"/>
      <c r="G318" s="618" t="e">
        <f t="shared" ca="1" si="18"/>
        <v>#REF!</v>
      </c>
      <c r="H318" s="623" t="e">
        <f ca="1">IF(H88="","",ROUND((H88+H88/(H$5-H$6)*H$6+H88/(H$5-H$6)*H$15)*$D$4,-3))</f>
        <v>#REF!</v>
      </c>
    </row>
    <row r="319" spans="1:9" ht="13.5" customHeight="1">
      <c r="A319" s="538"/>
      <c r="B319" s="608"/>
      <c r="C319" s="730">
        <v>12505991</v>
      </c>
      <c r="D319" s="729" t="s">
        <v>511</v>
      </c>
      <c r="E319" s="729"/>
      <c r="F319" s="615"/>
      <c r="G319" s="618" t="e">
        <f t="shared" ca="1" si="18"/>
        <v>#REF!</v>
      </c>
      <c r="H319" s="623" t="e">
        <f ca="1">IF(H89="","",ROUND((H89+H89/(H$5-H$6)*H$6+H89/(H$5-H$6)*H$15)*$D$4,-3))</f>
        <v>#REF!</v>
      </c>
    </row>
    <row r="320" spans="1:9" ht="13.5" customHeight="1">
      <c r="A320" s="538"/>
      <c r="B320" s="608"/>
      <c r="C320" s="711"/>
      <c r="D320" s="712"/>
      <c r="E320" s="713"/>
      <c r="F320" s="626"/>
      <c r="G320" s="714">
        <f t="shared" si="18"/>
        <v>0</v>
      </c>
      <c r="H320" s="717" t="str">
        <f>IF(H90="","",ROUND(H90+H90/(H$5-H$6)*H$6+H90/(H$5-H$6)*H$15,-3))</f>
        <v/>
      </c>
    </row>
    <row r="321" spans="1:9" s="723" customFormat="1" ht="13.5" customHeight="1" thickBot="1">
      <c r="A321" s="731"/>
      <c r="B321" s="732"/>
      <c r="C321" s="732"/>
      <c r="D321" s="732"/>
      <c r="E321" s="732"/>
      <c r="F321" s="733" t="s">
        <v>2496</v>
      </c>
      <c r="G321" s="734" t="e">
        <f t="shared" ca="1" si="18"/>
        <v>#REF!</v>
      </c>
      <c r="H321" s="735" t="e">
        <f ca="1">IF(H$4="費用",0,SUM(H315:H319))</f>
        <v>#REF!</v>
      </c>
      <c r="I321" s="532"/>
    </row>
    <row r="322" spans="1:9" ht="13.5" customHeight="1" thickTop="1">
      <c r="A322" s="538"/>
      <c r="B322" s="608"/>
      <c r="C322" s="729" t="s">
        <v>727</v>
      </c>
      <c r="D322" s="726" t="s">
        <v>2497</v>
      </c>
      <c r="E322" s="726"/>
      <c r="F322" s="736"/>
      <c r="G322" s="618" t="e">
        <f t="shared" ca="1" si="18"/>
        <v>#REF!</v>
      </c>
      <c r="H322" s="710" t="e">
        <f ca="1">IF(H10="","",ROUND((H10+H10/(H$5-H$6)*H$6+H10/(H$5-H$6)*H$15)*$D$4,-3))</f>
        <v>#REF!</v>
      </c>
    </row>
    <row r="323" spans="1:9" ht="13.5" customHeight="1">
      <c r="A323" s="538"/>
      <c r="B323" s="608"/>
      <c r="C323" s="729" t="s">
        <v>726</v>
      </c>
      <c r="D323" s="726" t="s">
        <v>2498</v>
      </c>
      <c r="E323" s="729"/>
      <c r="F323" s="620"/>
      <c r="G323" s="618" t="e">
        <f t="shared" ca="1" si="18"/>
        <v>#REF!</v>
      </c>
      <c r="H323" s="710" t="e">
        <f ca="1">IF(H4="費用",0,IF(H13="","",ROUND((H13+H13/(H$5-H$6)*H$6+H13/(H$5-H$6)*H$15)*$D$4,-3)))</f>
        <v>#REF!</v>
      </c>
    </row>
    <row r="324" spans="1:9" s="723" customFormat="1" ht="13.5" customHeight="1" thickBot="1">
      <c r="A324" s="737"/>
      <c r="B324" s="738"/>
      <c r="C324" s="738"/>
      <c r="D324" s="738"/>
      <c r="E324" s="738"/>
      <c r="F324" s="739" t="s">
        <v>728</v>
      </c>
      <c r="G324" s="740" t="e">
        <f t="shared" ca="1" si="18"/>
        <v>#REF!</v>
      </c>
      <c r="H324" s="829" t="e">
        <f ca="1">SUM(H322:H323)</f>
        <v>#REF!</v>
      </c>
      <c r="I324" s="532"/>
    </row>
    <row r="325" spans="1:9" ht="13.5" customHeight="1" thickTop="1">
      <c r="A325" s="538"/>
      <c r="B325" s="608"/>
      <c r="C325" s="729" t="s">
        <v>726</v>
      </c>
      <c r="D325" s="2725" t="s">
        <v>2499</v>
      </c>
      <c r="E325" s="2725"/>
      <c r="F325" s="2726"/>
      <c r="G325" s="618" t="e">
        <f t="shared" ca="1" si="18"/>
        <v>#REF!</v>
      </c>
      <c r="H325" s="710" t="e">
        <f ca="1">IF(H4="費用",0,IF(H12="","",ROUND((H14+H14/(H$5-H$6)*H$6+H14/(H$5-H$6)*H$15)*$D$4,-3)))</f>
        <v>#REF!</v>
      </c>
    </row>
    <row r="326" spans="1:9" ht="13.5" customHeight="1">
      <c r="A326" s="538"/>
      <c r="B326" s="608"/>
      <c r="C326" s="729" t="s">
        <v>726</v>
      </c>
      <c r="D326" s="729" t="s">
        <v>2500</v>
      </c>
      <c r="E326" s="729"/>
      <c r="F326" s="620"/>
      <c r="G326" s="618">
        <f t="shared" si="18"/>
        <v>0</v>
      </c>
      <c r="H326" s="623">
        <f>IF(H$4="費用",IF(H19&gt;0,ROUNDDOWN(H19*$D$4,-3),ROUNDUP(H19*$D$4,-3)),0)</f>
        <v>0</v>
      </c>
    </row>
    <row r="327" spans="1:9" s="723" customFormat="1" ht="13.5" customHeight="1" thickBot="1">
      <c r="A327" s="741"/>
      <c r="B327" s="742"/>
      <c r="C327" s="742"/>
      <c r="D327" s="742"/>
      <c r="E327" s="742"/>
      <c r="F327" s="743" t="s">
        <v>729</v>
      </c>
      <c r="G327" s="744" t="e">
        <f t="shared" ca="1" si="18"/>
        <v>#REF!</v>
      </c>
      <c r="H327" s="745" t="e">
        <f ca="1">SUM(H325:H326)</f>
        <v>#REF!</v>
      </c>
      <c r="I327" s="532"/>
    </row>
    <row r="328" spans="1:9" ht="13.5" customHeight="1" thickTop="1">
      <c r="A328" s="746"/>
      <c r="B328" s="747"/>
      <c r="C328" s="747"/>
      <c r="D328" s="747"/>
      <c r="E328" s="747"/>
      <c r="F328" s="748" t="s">
        <v>730</v>
      </c>
      <c r="G328" s="749" t="e">
        <f t="shared" ca="1" si="18"/>
        <v>#REF!</v>
      </c>
      <c r="H328" s="750" t="e">
        <f ca="1">H278+H314+H321+H324+H327</f>
        <v>#REF!</v>
      </c>
    </row>
    <row r="329" spans="1:9" ht="13.5" customHeight="1">
      <c r="A329" s="751"/>
      <c r="B329" s="752"/>
      <c r="C329" s="752"/>
      <c r="D329" s="752"/>
      <c r="E329" s="752"/>
      <c r="F329" s="661"/>
      <c r="G329" s="753" t="e">
        <f ca="1">IF(G$23=G328,"","工事価格が一致ません。↑")</f>
        <v>#REF!</v>
      </c>
      <c r="H329" s="754" t="e">
        <f ca="1">IF(H$23=H328,"","↑error")</f>
        <v>#REF!</v>
      </c>
    </row>
  </sheetData>
  <sheetProtection selectLockedCells="1" selectUnlockedCells="1"/>
  <mergeCells count="10">
    <mergeCell ref="F94:H94"/>
    <mergeCell ref="D325:F325"/>
    <mergeCell ref="E76:E77"/>
    <mergeCell ref="B77:D77"/>
    <mergeCell ref="E9:E11"/>
    <mergeCell ref="E12:E14"/>
    <mergeCell ref="E25:E26"/>
    <mergeCell ref="B26:D26"/>
    <mergeCell ref="E54:E55"/>
    <mergeCell ref="B55:D55"/>
  </mergeCells>
  <phoneticPr fontId="2"/>
  <conditionalFormatting sqref="G76:G77 G24:G26 H24">
    <cfRule type="expression" dxfId="7" priority="17" stopIfTrue="1">
      <formula>AND($G$53&gt;5000000,OR($F$18="無し",$F$18="なし"))</formula>
    </cfRule>
  </conditionalFormatting>
  <conditionalFormatting sqref="G54">
    <cfRule type="expression" dxfId="6" priority="16" stopIfTrue="1">
      <formula>AND($G$53&gt;5000000,OR($F$18="無し",$F$18="なし"))</formula>
    </cfRule>
  </conditionalFormatting>
  <conditionalFormatting sqref="G55">
    <cfRule type="expression" dxfId="5" priority="15" stopIfTrue="1">
      <formula>AND($G$53&gt;5000000,OR($F$18="無し",$F$18="なし"))</formula>
    </cfRule>
  </conditionalFormatting>
  <conditionalFormatting sqref="G60">
    <cfRule type="expression" dxfId="4" priority="14" stopIfTrue="1">
      <formula>AND($G$53&gt;5000000,OR($F$18="無し",$F$18="なし"))</formula>
    </cfRule>
  </conditionalFormatting>
  <dataValidations count="8">
    <dataValidation type="list" allowBlank="1" showInputMessage="1" showErrorMessage="1" sqref="H4" xr:uid="{00000000-0002-0000-0500-000000000000}">
      <formula1>"資産,費用"</formula1>
    </dataValidation>
    <dataValidation type="list" allowBlank="1" showInputMessage="1" showErrorMessage="1" sqref="WUL980941:WUS980941 HZ16:IG16 RV16:SC16 ABR16:ABY16 ALN16:ALU16 AVJ16:AVQ16 BFF16:BFM16 BPB16:BPI16 BYX16:BZE16 CIT16:CJA16 CSP16:CSW16 DCL16:DCS16 DMH16:DMO16 DWD16:DWK16 EFZ16:EGG16 EPV16:EQC16 EZR16:EZY16 FJN16:FJU16 FTJ16:FTQ16 GDF16:GDM16 GNB16:GNI16 GWX16:GXE16 HGT16:HHA16 HQP16:HQW16 IAL16:IAS16 IKH16:IKO16 IUD16:IUK16 JDZ16:JEG16 JNV16:JOC16 JXR16:JXY16 KHN16:KHU16 KRJ16:KRQ16 LBF16:LBM16 LLB16:LLI16 LUX16:LVE16 MET16:MFA16 MOP16:MOW16 MYL16:MYS16 NIH16:NIO16 NSD16:NSK16 OBZ16:OCG16 OLV16:OMC16 OVR16:OVY16 PFN16:PFU16 PPJ16:PPQ16 PZF16:PZM16 QJB16:QJI16 QSX16:QTE16 RCT16:RDA16 RMP16:RMW16 RWL16:RWS16 SGH16:SGO16 SQD16:SQK16 SZZ16:TAG16 TJV16:TKC16 TTR16:TTY16 UDN16:UDU16 UNJ16:UNQ16 UXF16:UXM16 VHB16:VHI16 VQX16:VRE16 WAT16:WBA16 WKP16:WKW16 WUL16:WUS16 RCT980941:RDA980941 HZ63437:IG63437 RV63437:SC63437 ABR63437:ABY63437 ALN63437:ALU63437 AVJ63437:AVQ63437 BFF63437:BFM63437 BPB63437:BPI63437 BYX63437:BZE63437 CIT63437:CJA63437 CSP63437:CSW63437 DCL63437:DCS63437 DMH63437:DMO63437 DWD63437:DWK63437 EFZ63437:EGG63437 EPV63437:EQC63437 EZR63437:EZY63437 FJN63437:FJU63437 FTJ63437:FTQ63437 GDF63437:GDM63437 GNB63437:GNI63437 GWX63437:GXE63437 HGT63437:HHA63437 HQP63437:HQW63437 IAL63437:IAS63437 IKH63437:IKO63437 IUD63437:IUK63437 JDZ63437:JEG63437 JNV63437:JOC63437 JXR63437:JXY63437 KHN63437:KHU63437 KRJ63437:KRQ63437 LBF63437:LBM63437 LLB63437:LLI63437 LUX63437:LVE63437 MET63437:MFA63437 MOP63437:MOW63437 MYL63437:MYS63437 NIH63437:NIO63437 NSD63437:NSK63437 OBZ63437:OCG63437 OLV63437:OMC63437 OVR63437:OVY63437 PFN63437:PFU63437 PPJ63437:PPQ63437 PZF63437:PZM63437 QJB63437:QJI63437 QSX63437:QTE63437 RCT63437:RDA63437 RMP63437:RMW63437 RWL63437:RWS63437 SGH63437:SGO63437 SQD63437:SQK63437 SZZ63437:TAG63437 TJV63437:TKC63437 TTR63437:TTY63437 UDN63437:UDU63437 UNJ63437:UNQ63437 UXF63437:UXM63437 VHB63437:VHI63437 VQX63437:VRE63437 WAT63437:WBA63437 WKP63437:WKW63437 WUL63437:WUS63437 RMP980941:RMW980941 HZ128973:IG128973 RV128973:SC128973 ABR128973:ABY128973 ALN128973:ALU128973 AVJ128973:AVQ128973 BFF128973:BFM128973 BPB128973:BPI128973 BYX128973:BZE128973 CIT128973:CJA128973 CSP128973:CSW128973 DCL128973:DCS128973 DMH128973:DMO128973 DWD128973:DWK128973 EFZ128973:EGG128973 EPV128973:EQC128973 EZR128973:EZY128973 FJN128973:FJU128973 FTJ128973:FTQ128973 GDF128973:GDM128973 GNB128973:GNI128973 GWX128973:GXE128973 HGT128973:HHA128973 HQP128973:HQW128973 IAL128973:IAS128973 IKH128973:IKO128973 IUD128973:IUK128973 JDZ128973:JEG128973 JNV128973:JOC128973 JXR128973:JXY128973 KHN128973:KHU128973 KRJ128973:KRQ128973 LBF128973:LBM128973 LLB128973:LLI128973 LUX128973:LVE128973 MET128973:MFA128973 MOP128973:MOW128973 MYL128973:MYS128973 NIH128973:NIO128973 NSD128973:NSK128973 OBZ128973:OCG128973 OLV128973:OMC128973 OVR128973:OVY128973 PFN128973:PFU128973 PPJ128973:PPQ128973 PZF128973:PZM128973 QJB128973:QJI128973 QSX128973:QTE128973 RCT128973:RDA128973 RMP128973:RMW128973 RWL128973:RWS128973 SGH128973:SGO128973 SQD128973:SQK128973 SZZ128973:TAG128973 TJV128973:TKC128973 TTR128973:TTY128973 UDN128973:UDU128973 UNJ128973:UNQ128973 UXF128973:UXM128973 VHB128973:VHI128973 VQX128973:VRE128973 WAT128973:WBA128973 WKP128973:WKW128973 WUL128973:WUS128973 RWL980941:RWS980941 HZ194509:IG194509 RV194509:SC194509 ABR194509:ABY194509 ALN194509:ALU194509 AVJ194509:AVQ194509 BFF194509:BFM194509 BPB194509:BPI194509 BYX194509:BZE194509 CIT194509:CJA194509 CSP194509:CSW194509 DCL194509:DCS194509 DMH194509:DMO194509 DWD194509:DWK194509 EFZ194509:EGG194509 EPV194509:EQC194509 EZR194509:EZY194509 FJN194509:FJU194509 FTJ194509:FTQ194509 GDF194509:GDM194509 GNB194509:GNI194509 GWX194509:GXE194509 HGT194509:HHA194509 HQP194509:HQW194509 IAL194509:IAS194509 IKH194509:IKO194509 IUD194509:IUK194509 JDZ194509:JEG194509 JNV194509:JOC194509 JXR194509:JXY194509 KHN194509:KHU194509 KRJ194509:KRQ194509 LBF194509:LBM194509 LLB194509:LLI194509 LUX194509:LVE194509 MET194509:MFA194509 MOP194509:MOW194509 MYL194509:MYS194509 NIH194509:NIO194509 NSD194509:NSK194509 OBZ194509:OCG194509 OLV194509:OMC194509 OVR194509:OVY194509 PFN194509:PFU194509 PPJ194509:PPQ194509 PZF194509:PZM194509 QJB194509:QJI194509 QSX194509:QTE194509 RCT194509:RDA194509 RMP194509:RMW194509 RWL194509:RWS194509 SGH194509:SGO194509 SQD194509:SQK194509 SZZ194509:TAG194509 TJV194509:TKC194509 TTR194509:TTY194509 UDN194509:UDU194509 UNJ194509:UNQ194509 UXF194509:UXM194509 VHB194509:VHI194509 VQX194509:VRE194509 WAT194509:WBA194509 WKP194509:WKW194509 WUL194509:WUS194509 SGH980941:SGO980941 HZ260045:IG260045 RV260045:SC260045 ABR260045:ABY260045 ALN260045:ALU260045 AVJ260045:AVQ260045 BFF260045:BFM260045 BPB260045:BPI260045 BYX260045:BZE260045 CIT260045:CJA260045 CSP260045:CSW260045 DCL260045:DCS260045 DMH260045:DMO260045 DWD260045:DWK260045 EFZ260045:EGG260045 EPV260045:EQC260045 EZR260045:EZY260045 FJN260045:FJU260045 FTJ260045:FTQ260045 GDF260045:GDM260045 GNB260045:GNI260045 GWX260045:GXE260045 HGT260045:HHA260045 HQP260045:HQW260045 IAL260045:IAS260045 IKH260045:IKO260045 IUD260045:IUK260045 JDZ260045:JEG260045 JNV260045:JOC260045 JXR260045:JXY260045 KHN260045:KHU260045 KRJ260045:KRQ260045 LBF260045:LBM260045 LLB260045:LLI260045 LUX260045:LVE260045 MET260045:MFA260045 MOP260045:MOW260045 MYL260045:MYS260045 NIH260045:NIO260045 NSD260045:NSK260045 OBZ260045:OCG260045 OLV260045:OMC260045 OVR260045:OVY260045 PFN260045:PFU260045 PPJ260045:PPQ260045 PZF260045:PZM260045 QJB260045:QJI260045 QSX260045:QTE260045 RCT260045:RDA260045 RMP260045:RMW260045 RWL260045:RWS260045 SGH260045:SGO260045 SQD260045:SQK260045 SZZ260045:TAG260045 TJV260045:TKC260045 TTR260045:TTY260045 UDN260045:UDU260045 UNJ260045:UNQ260045 UXF260045:UXM260045 VHB260045:VHI260045 VQX260045:VRE260045 WAT260045:WBA260045 WKP260045:WKW260045 WUL260045:WUS260045 SQD980941:SQK980941 HZ325581:IG325581 RV325581:SC325581 ABR325581:ABY325581 ALN325581:ALU325581 AVJ325581:AVQ325581 BFF325581:BFM325581 BPB325581:BPI325581 BYX325581:BZE325581 CIT325581:CJA325581 CSP325581:CSW325581 DCL325581:DCS325581 DMH325581:DMO325581 DWD325581:DWK325581 EFZ325581:EGG325581 EPV325581:EQC325581 EZR325581:EZY325581 FJN325581:FJU325581 FTJ325581:FTQ325581 GDF325581:GDM325581 GNB325581:GNI325581 GWX325581:GXE325581 HGT325581:HHA325581 HQP325581:HQW325581 IAL325581:IAS325581 IKH325581:IKO325581 IUD325581:IUK325581 JDZ325581:JEG325581 JNV325581:JOC325581 JXR325581:JXY325581 KHN325581:KHU325581 KRJ325581:KRQ325581 LBF325581:LBM325581 LLB325581:LLI325581 LUX325581:LVE325581 MET325581:MFA325581 MOP325581:MOW325581 MYL325581:MYS325581 NIH325581:NIO325581 NSD325581:NSK325581 OBZ325581:OCG325581 OLV325581:OMC325581 OVR325581:OVY325581 PFN325581:PFU325581 PPJ325581:PPQ325581 PZF325581:PZM325581 QJB325581:QJI325581 QSX325581:QTE325581 RCT325581:RDA325581 RMP325581:RMW325581 RWL325581:RWS325581 SGH325581:SGO325581 SQD325581:SQK325581 SZZ325581:TAG325581 TJV325581:TKC325581 TTR325581:TTY325581 UDN325581:UDU325581 UNJ325581:UNQ325581 UXF325581:UXM325581 VHB325581:VHI325581 VQX325581:VRE325581 WAT325581:WBA325581 WKP325581:WKW325581 WUL325581:WUS325581 SZZ980941:TAG980941 HZ391117:IG391117 RV391117:SC391117 ABR391117:ABY391117 ALN391117:ALU391117 AVJ391117:AVQ391117 BFF391117:BFM391117 BPB391117:BPI391117 BYX391117:BZE391117 CIT391117:CJA391117 CSP391117:CSW391117 DCL391117:DCS391117 DMH391117:DMO391117 DWD391117:DWK391117 EFZ391117:EGG391117 EPV391117:EQC391117 EZR391117:EZY391117 FJN391117:FJU391117 FTJ391117:FTQ391117 GDF391117:GDM391117 GNB391117:GNI391117 GWX391117:GXE391117 HGT391117:HHA391117 HQP391117:HQW391117 IAL391117:IAS391117 IKH391117:IKO391117 IUD391117:IUK391117 JDZ391117:JEG391117 JNV391117:JOC391117 JXR391117:JXY391117 KHN391117:KHU391117 KRJ391117:KRQ391117 LBF391117:LBM391117 LLB391117:LLI391117 LUX391117:LVE391117 MET391117:MFA391117 MOP391117:MOW391117 MYL391117:MYS391117 NIH391117:NIO391117 NSD391117:NSK391117 OBZ391117:OCG391117 OLV391117:OMC391117 OVR391117:OVY391117 PFN391117:PFU391117 PPJ391117:PPQ391117 PZF391117:PZM391117 QJB391117:QJI391117 QSX391117:QTE391117 RCT391117:RDA391117 RMP391117:RMW391117 RWL391117:RWS391117 SGH391117:SGO391117 SQD391117:SQK391117 SZZ391117:TAG391117 TJV391117:TKC391117 TTR391117:TTY391117 UDN391117:UDU391117 UNJ391117:UNQ391117 UXF391117:UXM391117 VHB391117:VHI391117 VQX391117:VRE391117 WAT391117:WBA391117 WKP391117:WKW391117 WUL391117:WUS391117 TJV980941:TKC980941 HZ456653:IG456653 RV456653:SC456653 ABR456653:ABY456653 ALN456653:ALU456653 AVJ456653:AVQ456653 BFF456653:BFM456653 BPB456653:BPI456653 BYX456653:BZE456653 CIT456653:CJA456653 CSP456653:CSW456653 DCL456653:DCS456653 DMH456653:DMO456653 DWD456653:DWK456653 EFZ456653:EGG456653 EPV456653:EQC456653 EZR456653:EZY456653 FJN456653:FJU456653 FTJ456653:FTQ456653 GDF456653:GDM456653 GNB456653:GNI456653 GWX456653:GXE456653 HGT456653:HHA456653 HQP456653:HQW456653 IAL456653:IAS456653 IKH456653:IKO456653 IUD456653:IUK456653 JDZ456653:JEG456653 JNV456653:JOC456653 JXR456653:JXY456653 KHN456653:KHU456653 KRJ456653:KRQ456653 LBF456653:LBM456653 LLB456653:LLI456653 LUX456653:LVE456653 MET456653:MFA456653 MOP456653:MOW456653 MYL456653:MYS456653 NIH456653:NIO456653 NSD456653:NSK456653 OBZ456653:OCG456653 OLV456653:OMC456653 OVR456653:OVY456653 PFN456653:PFU456653 PPJ456653:PPQ456653 PZF456653:PZM456653 QJB456653:QJI456653 QSX456653:QTE456653 RCT456653:RDA456653 RMP456653:RMW456653 RWL456653:RWS456653 SGH456653:SGO456653 SQD456653:SQK456653 SZZ456653:TAG456653 TJV456653:TKC456653 TTR456653:TTY456653 UDN456653:UDU456653 UNJ456653:UNQ456653 UXF456653:UXM456653 VHB456653:VHI456653 VQX456653:VRE456653 WAT456653:WBA456653 WKP456653:WKW456653 WUL456653:WUS456653 TTR980941:TTY980941 HZ522189:IG522189 RV522189:SC522189 ABR522189:ABY522189 ALN522189:ALU522189 AVJ522189:AVQ522189 BFF522189:BFM522189 BPB522189:BPI522189 BYX522189:BZE522189 CIT522189:CJA522189 CSP522189:CSW522189 DCL522189:DCS522189 DMH522189:DMO522189 DWD522189:DWK522189 EFZ522189:EGG522189 EPV522189:EQC522189 EZR522189:EZY522189 FJN522189:FJU522189 FTJ522189:FTQ522189 GDF522189:GDM522189 GNB522189:GNI522189 GWX522189:GXE522189 HGT522189:HHA522189 HQP522189:HQW522189 IAL522189:IAS522189 IKH522189:IKO522189 IUD522189:IUK522189 JDZ522189:JEG522189 JNV522189:JOC522189 JXR522189:JXY522189 KHN522189:KHU522189 KRJ522189:KRQ522189 LBF522189:LBM522189 LLB522189:LLI522189 LUX522189:LVE522189 MET522189:MFA522189 MOP522189:MOW522189 MYL522189:MYS522189 NIH522189:NIO522189 NSD522189:NSK522189 OBZ522189:OCG522189 OLV522189:OMC522189 OVR522189:OVY522189 PFN522189:PFU522189 PPJ522189:PPQ522189 PZF522189:PZM522189 QJB522189:QJI522189 QSX522189:QTE522189 RCT522189:RDA522189 RMP522189:RMW522189 RWL522189:RWS522189 SGH522189:SGO522189 SQD522189:SQK522189 SZZ522189:TAG522189 TJV522189:TKC522189 TTR522189:TTY522189 UDN522189:UDU522189 UNJ522189:UNQ522189 UXF522189:UXM522189 VHB522189:VHI522189 VQX522189:VRE522189 WAT522189:WBA522189 WKP522189:WKW522189 WUL522189:WUS522189 UDN980941:UDU980941 HZ587725:IG587725 RV587725:SC587725 ABR587725:ABY587725 ALN587725:ALU587725 AVJ587725:AVQ587725 BFF587725:BFM587725 BPB587725:BPI587725 BYX587725:BZE587725 CIT587725:CJA587725 CSP587725:CSW587725 DCL587725:DCS587725 DMH587725:DMO587725 DWD587725:DWK587725 EFZ587725:EGG587725 EPV587725:EQC587725 EZR587725:EZY587725 FJN587725:FJU587725 FTJ587725:FTQ587725 GDF587725:GDM587725 GNB587725:GNI587725 GWX587725:GXE587725 HGT587725:HHA587725 HQP587725:HQW587725 IAL587725:IAS587725 IKH587725:IKO587725 IUD587725:IUK587725 JDZ587725:JEG587725 JNV587725:JOC587725 JXR587725:JXY587725 KHN587725:KHU587725 KRJ587725:KRQ587725 LBF587725:LBM587725 LLB587725:LLI587725 LUX587725:LVE587725 MET587725:MFA587725 MOP587725:MOW587725 MYL587725:MYS587725 NIH587725:NIO587725 NSD587725:NSK587725 OBZ587725:OCG587725 OLV587725:OMC587725 OVR587725:OVY587725 PFN587725:PFU587725 PPJ587725:PPQ587725 PZF587725:PZM587725 QJB587725:QJI587725 QSX587725:QTE587725 RCT587725:RDA587725 RMP587725:RMW587725 RWL587725:RWS587725 SGH587725:SGO587725 SQD587725:SQK587725 SZZ587725:TAG587725 TJV587725:TKC587725 TTR587725:TTY587725 UDN587725:UDU587725 UNJ587725:UNQ587725 UXF587725:UXM587725 VHB587725:VHI587725 VQX587725:VRE587725 WAT587725:WBA587725 WKP587725:WKW587725 WUL587725:WUS587725 UNJ980941:UNQ980941 HZ653261:IG653261 RV653261:SC653261 ABR653261:ABY653261 ALN653261:ALU653261 AVJ653261:AVQ653261 BFF653261:BFM653261 BPB653261:BPI653261 BYX653261:BZE653261 CIT653261:CJA653261 CSP653261:CSW653261 DCL653261:DCS653261 DMH653261:DMO653261 DWD653261:DWK653261 EFZ653261:EGG653261 EPV653261:EQC653261 EZR653261:EZY653261 FJN653261:FJU653261 FTJ653261:FTQ653261 GDF653261:GDM653261 GNB653261:GNI653261 GWX653261:GXE653261 HGT653261:HHA653261 HQP653261:HQW653261 IAL653261:IAS653261 IKH653261:IKO653261 IUD653261:IUK653261 JDZ653261:JEG653261 JNV653261:JOC653261 JXR653261:JXY653261 KHN653261:KHU653261 KRJ653261:KRQ653261 LBF653261:LBM653261 LLB653261:LLI653261 LUX653261:LVE653261 MET653261:MFA653261 MOP653261:MOW653261 MYL653261:MYS653261 NIH653261:NIO653261 NSD653261:NSK653261 OBZ653261:OCG653261 OLV653261:OMC653261 OVR653261:OVY653261 PFN653261:PFU653261 PPJ653261:PPQ653261 PZF653261:PZM653261 QJB653261:QJI653261 QSX653261:QTE653261 RCT653261:RDA653261 RMP653261:RMW653261 RWL653261:RWS653261 SGH653261:SGO653261 SQD653261:SQK653261 SZZ653261:TAG653261 TJV653261:TKC653261 TTR653261:TTY653261 UDN653261:UDU653261 UNJ653261:UNQ653261 UXF653261:UXM653261 VHB653261:VHI653261 VQX653261:VRE653261 WAT653261:WBA653261 WKP653261:WKW653261 WUL653261:WUS653261 UXF980941:UXM980941 HZ718797:IG718797 RV718797:SC718797 ABR718797:ABY718797 ALN718797:ALU718797 AVJ718797:AVQ718797 BFF718797:BFM718797 BPB718797:BPI718797 BYX718797:BZE718797 CIT718797:CJA718797 CSP718797:CSW718797 DCL718797:DCS718797 DMH718797:DMO718797 DWD718797:DWK718797 EFZ718797:EGG718797 EPV718797:EQC718797 EZR718797:EZY718797 FJN718797:FJU718797 FTJ718797:FTQ718797 GDF718797:GDM718797 GNB718797:GNI718797 GWX718797:GXE718797 HGT718797:HHA718797 HQP718797:HQW718797 IAL718797:IAS718797 IKH718797:IKO718797 IUD718797:IUK718797 JDZ718797:JEG718797 JNV718797:JOC718797 JXR718797:JXY718797 KHN718797:KHU718797 KRJ718797:KRQ718797 LBF718797:LBM718797 LLB718797:LLI718797 LUX718797:LVE718797 MET718797:MFA718797 MOP718797:MOW718797 MYL718797:MYS718797 NIH718797:NIO718797 NSD718797:NSK718797 OBZ718797:OCG718797 OLV718797:OMC718797 OVR718797:OVY718797 PFN718797:PFU718797 PPJ718797:PPQ718797 PZF718797:PZM718797 QJB718797:QJI718797 QSX718797:QTE718797 RCT718797:RDA718797 RMP718797:RMW718797 RWL718797:RWS718797 SGH718797:SGO718797 SQD718797:SQK718797 SZZ718797:TAG718797 TJV718797:TKC718797 TTR718797:TTY718797 UDN718797:UDU718797 UNJ718797:UNQ718797 UXF718797:UXM718797 VHB718797:VHI718797 VQX718797:VRE718797 WAT718797:WBA718797 WKP718797:WKW718797 WUL718797:WUS718797 VHB980941:VHI980941 HZ784333:IG784333 RV784333:SC784333 ABR784333:ABY784333 ALN784333:ALU784333 AVJ784333:AVQ784333 BFF784333:BFM784333 BPB784333:BPI784333 BYX784333:BZE784333 CIT784333:CJA784333 CSP784333:CSW784333 DCL784333:DCS784333 DMH784333:DMO784333 DWD784333:DWK784333 EFZ784333:EGG784333 EPV784333:EQC784333 EZR784333:EZY784333 FJN784333:FJU784333 FTJ784333:FTQ784333 GDF784333:GDM784333 GNB784333:GNI784333 GWX784333:GXE784333 HGT784333:HHA784333 HQP784333:HQW784333 IAL784333:IAS784333 IKH784333:IKO784333 IUD784333:IUK784333 JDZ784333:JEG784333 JNV784333:JOC784333 JXR784333:JXY784333 KHN784333:KHU784333 KRJ784333:KRQ784333 LBF784333:LBM784333 LLB784333:LLI784333 LUX784333:LVE784333 MET784333:MFA784333 MOP784333:MOW784333 MYL784333:MYS784333 NIH784333:NIO784333 NSD784333:NSK784333 OBZ784333:OCG784333 OLV784333:OMC784333 OVR784333:OVY784333 PFN784333:PFU784333 PPJ784333:PPQ784333 PZF784333:PZM784333 QJB784333:QJI784333 QSX784333:QTE784333 RCT784333:RDA784333 RMP784333:RMW784333 RWL784333:RWS784333 SGH784333:SGO784333 SQD784333:SQK784333 SZZ784333:TAG784333 TJV784333:TKC784333 TTR784333:TTY784333 UDN784333:UDU784333 UNJ784333:UNQ784333 UXF784333:UXM784333 VHB784333:VHI784333 VQX784333:VRE784333 WAT784333:WBA784333 WKP784333:WKW784333 WUL784333:WUS784333 VQX980941:VRE980941 HZ849869:IG849869 RV849869:SC849869 ABR849869:ABY849869 ALN849869:ALU849869 AVJ849869:AVQ849869 BFF849869:BFM849869 BPB849869:BPI849869 BYX849869:BZE849869 CIT849869:CJA849869 CSP849869:CSW849869 DCL849869:DCS849869 DMH849869:DMO849869 DWD849869:DWK849869 EFZ849869:EGG849869 EPV849869:EQC849869 EZR849869:EZY849869 FJN849869:FJU849869 FTJ849869:FTQ849869 GDF849869:GDM849869 GNB849869:GNI849869 GWX849869:GXE849869 HGT849869:HHA849869 HQP849869:HQW849869 IAL849869:IAS849869 IKH849869:IKO849869 IUD849869:IUK849869 JDZ849869:JEG849869 JNV849869:JOC849869 JXR849869:JXY849869 KHN849869:KHU849869 KRJ849869:KRQ849869 LBF849869:LBM849869 LLB849869:LLI849869 LUX849869:LVE849869 MET849869:MFA849869 MOP849869:MOW849869 MYL849869:MYS849869 NIH849869:NIO849869 NSD849869:NSK849869 OBZ849869:OCG849869 OLV849869:OMC849869 OVR849869:OVY849869 PFN849869:PFU849869 PPJ849869:PPQ849869 PZF849869:PZM849869 QJB849869:QJI849869 QSX849869:QTE849869 RCT849869:RDA849869 RMP849869:RMW849869 RWL849869:RWS849869 SGH849869:SGO849869 SQD849869:SQK849869 SZZ849869:TAG849869 TJV849869:TKC849869 TTR849869:TTY849869 UDN849869:UDU849869 UNJ849869:UNQ849869 UXF849869:UXM849869 VHB849869:VHI849869 VQX849869:VRE849869 WAT849869:WBA849869 WKP849869:WKW849869 WUL849869:WUS849869 WAT980941:WBA980941 HZ915405:IG915405 RV915405:SC915405 ABR915405:ABY915405 ALN915405:ALU915405 AVJ915405:AVQ915405 BFF915405:BFM915405 BPB915405:BPI915405 BYX915405:BZE915405 CIT915405:CJA915405 CSP915405:CSW915405 DCL915405:DCS915405 DMH915405:DMO915405 DWD915405:DWK915405 EFZ915405:EGG915405 EPV915405:EQC915405 EZR915405:EZY915405 FJN915405:FJU915405 FTJ915405:FTQ915405 GDF915405:GDM915405 GNB915405:GNI915405 GWX915405:GXE915405 HGT915405:HHA915405 HQP915405:HQW915405 IAL915405:IAS915405 IKH915405:IKO915405 IUD915405:IUK915405 JDZ915405:JEG915405 JNV915405:JOC915405 JXR915405:JXY915405 KHN915405:KHU915405 KRJ915405:KRQ915405 LBF915405:LBM915405 LLB915405:LLI915405 LUX915405:LVE915405 MET915405:MFA915405 MOP915405:MOW915405 MYL915405:MYS915405 NIH915405:NIO915405 NSD915405:NSK915405 OBZ915405:OCG915405 OLV915405:OMC915405 OVR915405:OVY915405 PFN915405:PFU915405 PPJ915405:PPQ915405 PZF915405:PZM915405 QJB915405:QJI915405 QSX915405:QTE915405 RCT915405:RDA915405 RMP915405:RMW915405 RWL915405:RWS915405 SGH915405:SGO915405 SQD915405:SQK915405 SZZ915405:TAG915405 TJV915405:TKC915405 TTR915405:TTY915405 UDN915405:UDU915405 UNJ915405:UNQ915405 UXF915405:UXM915405 VHB915405:VHI915405 VQX915405:VRE915405 WAT915405:WBA915405 WKP915405:WKW915405 WUL915405:WUS915405 WKP980941:WKW980941 HZ980941:IG980941 RV980941:SC980941 ABR980941:ABY980941 ALN980941:ALU980941 AVJ980941:AVQ980941 BFF980941:BFM980941 BPB980941:BPI980941 BYX980941:BZE980941 CIT980941:CJA980941 CSP980941:CSW980941 DCL980941:DCS980941 DMH980941:DMO980941 DWD980941:DWK980941 EFZ980941:EGG980941 EPV980941:EQC980941 EZR980941:EZY980941 FJN980941:FJU980941 FTJ980941:FTQ980941 GDF980941:GDM980941 GNB980941:GNI980941 GWX980941:GXE980941 HGT980941:HHA980941 HQP980941:HQW980941 IAL980941:IAS980941 IKH980941:IKO980941 IUD980941:IUK980941 JDZ980941:JEG980941 JNV980941:JOC980941 JXR980941:JXY980941 KHN980941:KHU980941 KRJ980941:KRQ980941 LBF980941:LBM980941 LLB980941:LLI980941 LUX980941:LVE980941 MET980941:MFA980941 MOP980941:MOW980941 MYL980941:MYS980941 NIH980941:NIO980941 NSD980941:NSK980941 OBZ980941:OCG980941 OLV980941:OMC980941 OVR980941:OVY980941 PFN980941:PFU980941 PPJ980941:PPQ980941 PZF980941:PZM980941 QJB980941:QJI980941 QSX980941:QTE980941 H980941 H63437 H128973 H194509 H260045 H325581 H391117 H456653 H522189 H587725 H653261 H718797 H784333 H849869 H915405" xr:uid="{00000000-0002-0000-0500-000001000000}">
      <formula1>"改修,新営"</formula1>
    </dataValidation>
    <dataValidation type="list" allowBlank="1" showInputMessage="1" showErrorMessage="1" sqref="WUL980945:WUS980945 RV26:SC26 ABR26:ABY26 ALN26:ALU26 AVJ26:AVQ26 BFF26:BFM26 BPB26:BPI26 BYX26:BZE26 CIT26:CJA26 CSP26:CSW26 DCL26:DCS26 DMH26:DMO26 DWD26:DWK26 EFZ26:EGG26 EPV26:EQC26 EZR26:EZY26 FJN26:FJU26 FTJ26:FTQ26 GDF26:GDM26 GNB26:GNI26 GWX26:GXE26 HGT26:HHA26 HQP26:HQW26 IAL26:IAS26 IKH26:IKO26 IUD26:IUK26 JDZ26:JEG26 JNV26:JOC26 JXR26:JXY26 KHN26:KHU26 KRJ26:KRQ26 LBF26:LBM26 LLB26:LLI26 LUX26:LVE26 MET26:MFA26 MOP26:MOW26 MYL26:MYS26 NIH26:NIO26 NSD26:NSK26 OBZ26:OCG26 OLV26:OMC26 OVR26:OVY26 PFN26:PFU26 PPJ26:PPQ26 PZF26:PZM26 QJB26:QJI26 QSX26:QTE26 RCT26:RDA26 RMP26:RMW26 RWL26:RWS26 SGH26:SGO26 SQD26:SQK26 SZZ26:TAG26 TJV26:TKC26 TTR26:TTY26 UDN26:UDU26 UNJ26:UNQ26 UXF26:UXM26 VHB26:VHI26 VQX26:VRE26 WAT26:WBA26 WKP26:WKW26 WUL26:WUS26 WKP980945:WKW980945 RWL55:RWS55 HZ63441:IG63441 RV63441:SC63441 ABR63441:ABY63441 ALN63441:ALU63441 AVJ63441:AVQ63441 BFF63441:BFM63441 BPB63441:BPI63441 BYX63441:BZE63441 CIT63441:CJA63441 CSP63441:CSW63441 DCL63441:DCS63441 DMH63441:DMO63441 DWD63441:DWK63441 EFZ63441:EGG63441 EPV63441:EQC63441 EZR63441:EZY63441 FJN63441:FJU63441 FTJ63441:FTQ63441 GDF63441:GDM63441 GNB63441:GNI63441 GWX63441:GXE63441 HGT63441:HHA63441 HQP63441:HQW63441 IAL63441:IAS63441 IKH63441:IKO63441 IUD63441:IUK63441 JDZ63441:JEG63441 JNV63441:JOC63441 JXR63441:JXY63441 KHN63441:KHU63441 KRJ63441:KRQ63441 LBF63441:LBM63441 LLB63441:LLI63441 LUX63441:LVE63441 MET63441:MFA63441 MOP63441:MOW63441 MYL63441:MYS63441 NIH63441:NIO63441 NSD63441:NSK63441 OBZ63441:OCG63441 OLV63441:OMC63441 OVR63441:OVY63441 PFN63441:PFU63441 PPJ63441:PPQ63441 PZF63441:PZM63441 QJB63441:QJI63441 QSX63441:QTE63441 RCT63441:RDA63441 RMP63441:RMW63441 RWL63441:RWS63441 SGH63441:SGO63441 SQD63441:SQK63441 SZZ63441:TAG63441 TJV63441:TKC63441 TTR63441:TTY63441 UDN63441:UDU63441 UNJ63441:UNQ63441 UXF63441:UXM63441 VHB63441:VHI63441 VQX63441:VRE63441 WAT63441:WBA63441 WKP63441:WKW63441 WUL63441:WUS63441 SGH55:SGO55 HZ128977:IG128977 RV128977:SC128977 ABR128977:ABY128977 ALN128977:ALU128977 AVJ128977:AVQ128977 BFF128977:BFM128977 BPB128977:BPI128977 BYX128977:BZE128977 CIT128977:CJA128977 CSP128977:CSW128977 DCL128977:DCS128977 DMH128977:DMO128977 DWD128977:DWK128977 EFZ128977:EGG128977 EPV128977:EQC128977 EZR128977:EZY128977 FJN128977:FJU128977 FTJ128977:FTQ128977 GDF128977:GDM128977 GNB128977:GNI128977 GWX128977:GXE128977 HGT128977:HHA128977 HQP128977:HQW128977 IAL128977:IAS128977 IKH128977:IKO128977 IUD128977:IUK128977 JDZ128977:JEG128977 JNV128977:JOC128977 JXR128977:JXY128977 KHN128977:KHU128977 KRJ128977:KRQ128977 LBF128977:LBM128977 LLB128977:LLI128977 LUX128977:LVE128977 MET128977:MFA128977 MOP128977:MOW128977 MYL128977:MYS128977 NIH128977:NIO128977 NSD128977:NSK128977 OBZ128977:OCG128977 OLV128977:OMC128977 OVR128977:OVY128977 PFN128977:PFU128977 PPJ128977:PPQ128977 PZF128977:PZM128977 QJB128977:QJI128977 QSX128977:QTE128977 RCT128977:RDA128977 RMP128977:RMW128977 RWL128977:RWS128977 SGH128977:SGO128977 SQD128977:SQK128977 SZZ128977:TAG128977 TJV128977:TKC128977 TTR128977:TTY128977 UDN128977:UDU128977 UNJ128977:UNQ128977 UXF128977:UXM128977 VHB128977:VHI128977 VQX128977:VRE128977 WAT128977:WBA128977 WKP128977:WKW128977 WUL128977:WUS128977 SQD55:SQK55 HZ194513:IG194513 RV194513:SC194513 ABR194513:ABY194513 ALN194513:ALU194513 AVJ194513:AVQ194513 BFF194513:BFM194513 BPB194513:BPI194513 BYX194513:BZE194513 CIT194513:CJA194513 CSP194513:CSW194513 DCL194513:DCS194513 DMH194513:DMO194513 DWD194513:DWK194513 EFZ194513:EGG194513 EPV194513:EQC194513 EZR194513:EZY194513 FJN194513:FJU194513 FTJ194513:FTQ194513 GDF194513:GDM194513 GNB194513:GNI194513 GWX194513:GXE194513 HGT194513:HHA194513 HQP194513:HQW194513 IAL194513:IAS194513 IKH194513:IKO194513 IUD194513:IUK194513 JDZ194513:JEG194513 JNV194513:JOC194513 JXR194513:JXY194513 KHN194513:KHU194513 KRJ194513:KRQ194513 LBF194513:LBM194513 LLB194513:LLI194513 LUX194513:LVE194513 MET194513:MFA194513 MOP194513:MOW194513 MYL194513:MYS194513 NIH194513:NIO194513 NSD194513:NSK194513 OBZ194513:OCG194513 OLV194513:OMC194513 OVR194513:OVY194513 PFN194513:PFU194513 PPJ194513:PPQ194513 PZF194513:PZM194513 QJB194513:QJI194513 QSX194513:QTE194513 RCT194513:RDA194513 RMP194513:RMW194513 RWL194513:RWS194513 SGH194513:SGO194513 SQD194513:SQK194513 SZZ194513:TAG194513 TJV194513:TKC194513 TTR194513:TTY194513 UDN194513:UDU194513 UNJ194513:UNQ194513 UXF194513:UXM194513 VHB194513:VHI194513 VQX194513:VRE194513 WAT194513:WBA194513 WKP194513:WKW194513 WUL194513:WUS194513 SZZ55:TAG55 HZ260049:IG260049 RV260049:SC260049 ABR260049:ABY260049 ALN260049:ALU260049 AVJ260049:AVQ260049 BFF260049:BFM260049 BPB260049:BPI260049 BYX260049:BZE260049 CIT260049:CJA260049 CSP260049:CSW260049 DCL260049:DCS260049 DMH260049:DMO260049 DWD260049:DWK260049 EFZ260049:EGG260049 EPV260049:EQC260049 EZR260049:EZY260049 FJN260049:FJU260049 FTJ260049:FTQ260049 GDF260049:GDM260049 GNB260049:GNI260049 GWX260049:GXE260049 HGT260049:HHA260049 HQP260049:HQW260049 IAL260049:IAS260049 IKH260049:IKO260049 IUD260049:IUK260049 JDZ260049:JEG260049 JNV260049:JOC260049 JXR260049:JXY260049 KHN260049:KHU260049 KRJ260049:KRQ260049 LBF260049:LBM260049 LLB260049:LLI260049 LUX260049:LVE260049 MET260049:MFA260049 MOP260049:MOW260049 MYL260049:MYS260049 NIH260049:NIO260049 NSD260049:NSK260049 OBZ260049:OCG260049 OLV260049:OMC260049 OVR260049:OVY260049 PFN260049:PFU260049 PPJ260049:PPQ260049 PZF260049:PZM260049 QJB260049:QJI260049 QSX260049:QTE260049 RCT260049:RDA260049 RMP260049:RMW260049 RWL260049:RWS260049 SGH260049:SGO260049 SQD260049:SQK260049 SZZ260049:TAG260049 TJV260049:TKC260049 TTR260049:TTY260049 UDN260049:UDU260049 UNJ260049:UNQ260049 UXF260049:UXM260049 VHB260049:VHI260049 VQX260049:VRE260049 WAT260049:WBA260049 WKP260049:WKW260049 WUL260049:WUS260049 TJV55:TKC55 HZ325585:IG325585 RV325585:SC325585 ABR325585:ABY325585 ALN325585:ALU325585 AVJ325585:AVQ325585 BFF325585:BFM325585 BPB325585:BPI325585 BYX325585:BZE325585 CIT325585:CJA325585 CSP325585:CSW325585 DCL325585:DCS325585 DMH325585:DMO325585 DWD325585:DWK325585 EFZ325585:EGG325585 EPV325585:EQC325585 EZR325585:EZY325585 FJN325585:FJU325585 FTJ325585:FTQ325585 GDF325585:GDM325585 GNB325585:GNI325585 GWX325585:GXE325585 HGT325585:HHA325585 HQP325585:HQW325585 IAL325585:IAS325585 IKH325585:IKO325585 IUD325585:IUK325585 JDZ325585:JEG325585 JNV325585:JOC325585 JXR325585:JXY325585 KHN325585:KHU325585 KRJ325585:KRQ325585 LBF325585:LBM325585 LLB325585:LLI325585 LUX325585:LVE325585 MET325585:MFA325585 MOP325585:MOW325585 MYL325585:MYS325585 NIH325585:NIO325585 NSD325585:NSK325585 OBZ325585:OCG325585 OLV325585:OMC325585 OVR325585:OVY325585 PFN325585:PFU325585 PPJ325585:PPQ325585 PZF325585:PZM325585 QJB325585:QJI325585 QSX325585:QTE325585 RCT325585:RDA325585 RMP325585:RMW325585 RWL325585:RWS325585 SGH325585:SGO325585 SQD325585:SQK325585 SZZ325585:TAG325585 TJV325585:TKC325585 TTR325585:TTY325585 UDN325585:UDU325585 UNJ325585:UNQ325585 UXF325585:UXM325585 VHB325585:VHI325585 VQX325585:VRE325585 WAT325585:WBA325585 WKP325585:WKW325585 WUL325585:WUS325585 TTR55:TTY55 HZ391121:IG391121 RV391121:SC391121 ABR391121:ABY391121 ALN391121:ALU391121 AVJ391121:AVQ391121 BFF391121:BFM391121 BPB391121:BPI391121 BYX391121:BZE391121 CIT391121:CJA391121 CSP391121:CSW391121 DCL391121:DCS391121 DMH391121:DMO391121 DWD391121:DWK391121 EFZ391121:EGG391121 EPV391121:EQC391121 EZR391121:EZY391121 FJN391121:FJU391121 FTJ391121:FTQ391121 GDF391121:GDM391121 GNB391121:GNI391121 GWX391121:GXE391121 HGT391121:HHA391121 HQP391121:HQW391121 IAL391121:IAS391121 IKH391121:IKO391121 IUD391121:IUK391121 JDZ391121:JEG391121 JNV391121:JOC391121 JXR391121:JXY391121 KHN391121:KHU391121 KRJ391121:KRQ391121 LBF391121:LBM391121 LLB391121:LLI391121 LUX391121:LVE391121 MET391121:MFA391121 MOP391121:MOW391121 MYL391121:MYS391121 NIH391121:NIO391121 NSD391121:NSK391121 OBZ391121:OCG391121 OLV391121:OMC391121 OVR391121:OVY391121 PFN391121:PFU391121 PPJ391121:PPQ391121 PZF391121:PZM391121 QJB391121:QJI391121 QSX391121:QTE391121 RCT391121:RDA391121 RMP391121:RMW391121 RWL391121:RWS391121 SGH391121:SGO391121 SQD391121:SQK391121 SZZ391121:TAG391121 TJV391121:TKC391121 TTR391121:TTY391121 UDN391121:UDU391121 UNJ391121:UNQ391121 UXF391121:UXM391121 VHB391121:VHI391121 VQX391121:VRE391121 WAT391121:WBA391121 WKP391121:WKW391121 WUL391121:WUS391121 UDN55:UDU55 HZ456657:IG456657 RV456657:SC456657 ABR456657:ABY456657 ALN456657:ALU456657 AVJ456657:AVQ456657 BFF456657:BFM456657 BPB456657:BPI456657 BYX456657:BZE456657 CIT456657:CJA456657 CSP456657:CSW456657 DCL456657:DCS456657 DMH456657:DMO456657 DWD456657:DWK456657 EFZ456657:EGG456657 EPV456657:EQC456657 EZR456657:EZY456657 FJN456657:FJU456657 FTJ456657:FTQ456657 GDF456657:GDM456657 GNB456657:GNI456657 GWX456657:GXE456657 HGT456657:HHA456657 HQP456657:HQW456657 IAL456657:IAS456657 IKH456657:IKO456657 IUD456657:IUK456657 JDZ456657:JEG456657 JNV456657:JOC456657 JXR456657:JXY456657 KHN456657:KHU456657 KRJ456657:KRQ456657 LBF456657:LBM456657 LLB456657:LLI456657 LUX456657:LVE456657 MET456657:MFA456657 MOP456657:MOW456657 MYL456657:MYS456657 NIH456657:NIO456657 NSD456657:NSK456657 OBZ456657:OCG456657 OLV456657:OMC456657 OVR456657:OVY456657 PFN456657:PFU456657 PPJ456657:PPQ456657 PZF456657:PZM456657 QJB456657:QJI456657 QSX456657:QTE456657 RCT456657:RDA456657 RMP456657:RMW456657 RWL456657:RWS456657 SGH456657:SGO456657 SQD456657:SQK456657 SZZ456657:TAG456657 TJV456657:TKC456657 TTR456657:TTY456657 UDN456657:UDU456657 UNJ456657:UNQ456657 UXF456657:UXM456657 VHB456657:VHI456657 VQX456657:VRE456657 WAT456657:WBA456657 WKP456657:WKW456657 WUL456657:WUS456657 UNJ55:UNQ55 HZ522193:IG522193 RV522193:SC522193 ABR522193:ABY522193 ALN522193:ALU522193 AVJ522193:AVQ522193 BFF522193:BFM522193 BPB522193:BPI522193 BYX522193:BZE522193 CIT522193:CJA522193 CSP522193:CSW522193 DCL522193:DCS522193 DMH522193:DMO522193 DWD522193:DWK522193 EFZ522193:EGG522193 EPV522193:EQC522193 EZR522193:EZY522193 FJN522193:FJU522193 FTJ522193:FTQ522193 GDF522193:GDM522193 GNB522193:GNI522193 GWX522193:GXE522193 HGT522193:HHA522193 HQP522193:HQW522193 IAL522193:IAS522193 IKH522193:IKO522193 IUD522193:IUK522193 JDZ522193:JEG522193 JNV522193:JOC522193 JXR522193:JXY522193 KHN522193:KHU522193 KRJ522193:KRQ522193 LBF522193:LBM522193 LLB522193:LLI522193 LUX522193:LVE522193 MET522193:MFA522193 MOP522193:MOW522193 MYL522193:MYS522193 NIH522193:NIO522193 NSD522193:NSK522193 OBZ522193:OCG522193 OLV522193:OMC522193 OVR522193:OVY522193 PFN522193:PFU522193 PPJ522193:PPQ522193 PZF522193:PZM522193 QJB522193:QJI522193 QSX522193:QTE522193 RCT522193:RDA522193 RMP522193:RMW522193 RWL522193:RWS522193 SGH522193:SGO522193 SQD522193:SQK522193 SZZ522193:TAG522193 TJV522193:TKC522193 TTR522193:TTY522193 UDN522193:UDU522193 UNJ522193:UNQ522193 UXF522193:UXM522193 VHB522193:VHI522193 VQX522193:VRE522193 WAT522193:WBA522193 WKP522193:WKW522193 WUL522193:WUS522193 UXF55:UXM55 HZ587729:IG587729 RV587729:SC587729 ABR587729:ABY587729 ALN587729:ALU587729 AVJ587729:AVQ587729 BFF587729:BFM587729 BPB587729:BPI587729 BYX587729:BZE587729 CIT587729:CJA587729 CSP587729:CSW587729 DCL587729:DCS587729 DMH587729:DMO587729 DWD587729:DWK587729 EFZ587729:EGG587729 EPV587729:EQC587729 EZR587729:EZY587729 FJN587729:FJU587729 FTJ587729:FTQ587729 GDF587729:GDM587729 GNB587729:GNI587729 GWX587729:GXE587729 HGT587729:HHA587729 HQP587729:HQW587729 IAL587729:IAS587729 IKH587729:IKO587729 IUD587729:IUK587729 JDZ587729:JEG587729 JNV587729:JOC587729 JXR587729:JXY587729 KHN587729:KHU587729 KRJ587729:KRQ587729 LBF587729:LBM587729 LLB587729:LLI587729 LUX587729:LVE587729 MET587729:MFA587729 MOP587729:MOW587729 MYL587729:MYS587729 NIH587729:NIO587729 NSD587729:NSK587729 OBZ587729:OCG587729 OLV587729:OMC587729 OVR587729:OVY587729 PFN587729:PFU587729 PPJ587729:PPQ587729 PZF587729:PZM587729 QJB587729:QJI587729 QSX587729:QTE587729 RCT587729:RDA587729 RMP587729:RMW587729 RWL587729:RWS587729 SGH587729:SGO587729 SQD587729:SQK587729 SZZ587729:TAG587729 TJV587729:TKC587729 TTR587729:TTY587729 UDN587729:UDU587729 UNJ587729:UNQ587729 UXF587729:UXM587729 VHB587729:VHI587729 VQX587729:VRE587729 WAT587729:WBA587729 WKP587729:WKW587729 WUL587729:WUS587729 VHB55:VHI55 HZ653265:IG653265 RV653265:SC653265 ABR653265:ABY653265 ALN653265:ALU653265 AVJ653265:AVQ653265 BFF653265:BFM653265 BPB653265:BPI653265 BYX653265:BZE653265 CIT653265:CJA653265 CSP653265:CSW653265 DCL653265:DCS653265 DMH653265:DMO653265 DWD653265:DWK653265 EFZ653265:EGG653265 EPV653265:EQC653265 EZR653265:EZY653265 FJN653265:FJU653265 FTJ653265:FTQ653265 GDF653265:GDM653265 GNB653265:GNI653265 GWX653265:GXE653265 HGT653265:HHA653265 HQP653265:HQW653265 IAL653265:IAS653265 IKH653265:IKO653265 IUD653265:IUK653265 JDZ653265:JEG653265 JNV653265:JOC653265 JXR653265:JXY653265 KHN653265:KHU653265 KRJ653265:KRQ653265 LBF653265:LBM653265 LLB653265:LLI653265 LUX653265:LVE653265 MET653265:MFA653265 MOP653265:MOW653265 MYL653265:MYS653265 NIH653265:NIO653265 NSD653265:NSK653265 OBZ653265:OCG653265 OLV653265:OMC653265 OVR653265:OVY653265 PFN653265:PFU653265 PPJ653265:PPQ653265 PZF653265:PZM653265 QJB653265:QJI653265 QSX653265:QTE653265 RCT653265:RDA653265 RMP653265:RMW653265 RWL653265:RWS653265 SGH653265:SGO653265 SQD653265:SQK653265 SZZ653265:TAG653265 TJV653265:TKC653265 TTR653265:TTY653265 UDN653265:UDU653265 UNJ653265:UNQ653265 UXF653265:UXM653265 VHB653265:VHI653265 VQX653265:VRE653265 WAT653265:WBA653265 WKP653265:WKW653265 WUL653265:WUS653265 VQX55:VRE55 HZ718801:IG718801 RV718801:SC718801 ABR718801:ABY718801 ALN718801:ALU718801 AVJ718801:AVQ718801 BFF718801:BFM718801 BPB718801:BPI718801 BYX718801:BZE718801 CIT718801:CJA718801 CSP718801:CSW718801 DCL718801:DCS718801 DMH718801:DMO718801 DWD718801:DWK718801 EFZ718801:EGG718801 EPV718801:EQC718801 EZR718801:EZY718801 FJN718801:FJU718801 FTJ718801:FTQ718801 GDF718801:GDM718801 GNB718801:GNI718801 GWX718801:GXE718801 HGT718801:HHA718801 HQP718801:HQW718801 IAL718801:IAS718801 IKH718801:IKO718801 IUD718801:IUK718801 JDZ718801:JEG718801 JNV718801:JOC718801 JXR718801:JXY718801 KHN718801:KHU718801 KRJ718801:KRQ718801 LBF718801:LBM718801 LLB718801:LLI718801 LUX718801:LVE718801 MET718801:MFA718801 MOP718801:MOW718801 MYL718801:MYS718801 NIH718801:NIO718801 NSD718801:NSK718801 OBZ718801:OCG718801 OLV718801:OMC718801 OVR718801:OVY718801 PFN718801:PFU718801 PPJ718801:PPQ718801 PZF718801:PZM718801 QJB718801:QJI718801 QSX718801:QTE718801 RCT718801:RDA718801 RMP718801:RMW718801 RWL718801:RWS718801 SGH718801:SGO718801 SQD718801:SQK718801 SZZ718801:TAG718801 TJV718801:TKC718801 TTR718801:TTY718801 UDN718801:UDU718801 UNJ718801:UNQ718801 UXF718801:UXM718801 VHB718801:VHI718801 VQX718801:VRE718801 WAT718801:WBA718801 WKP718801:WKW718801 WUL718801:WUS718801 WAT55:WBA55 HZ784337:IG784337 RV784337:SC784337 ABR784337:ABY784337 ALN784337:ALU784337 AVJ784337:AVQ784337 BFF784337:BFM784337 BPB784337:BPI784337 BYX784337:BZE784337 CIT784337:CJA784337 CSP784337:CSW784337 DCL784337:DCS784337 DMH784337:DMO784337 DWD784337:DWK784337 EFZ784337:EGG784337 EPV784337:EQC784337 EZR784337:EZY784337 FJN784337:FJU784337 FTJ784337:FTQ784337 GDF784337:GDM784337 GNB784337:GNI784337 GWX784337:GXE784337 HGT784337:HHA784337 HQP784337:HQW784337 IAL784337:IAS784337 IKH784337:IKO784337 IUD784337:IUK784337 JDZ784337:JEG784337 JNV784337:JOC784337 JXR784337:JXY784337 KHN784337:KHU784337 KRJ784337:KRQ784337 LBF784337:LBM784337 LLB784337:LLI784337 LUX784337:LVE784337 MET784337:MFA784337 MOP784337:MOW784337 MYL784337:MYS784337 NIH784337:NIO784337 NSD784337:NSK784337 OBZ784337:OCG784337 OLV784337:OMC784337 OVR784337:OVY784337 PFN784337:PFU784337 PPJ784337:PPQ784337 PZF784337:PZM784337 QJB784337:QJI784337 QSX784337:QTE784337 RCT784337:RDA784337 RMP784337:RMW784337 RWL784337:RWS784337 SGH784337:SGO784337 SQD784337:SQK784337 SZZ784337:TAG784337 TJV784337:TKC784337 TTR784337:TTY784337 UDN784337:UDU784337 UNJ784337:UNQ784337 UXF784337:UXM784337 VHB784337:VHI784337 VQX784337:VRE784337 WAT784337:WBA784337 WKP784337:WKW784337 WUL784337:WUS784337 WKP55:WKW55 HZ849873:IG849873 RV849873:SC849873 ABR849873:ABY849873 ALN849873:ALU849873 AVJ849873:AVQ849873 BFF849873:BFM849873 BPB849873:BPI849873 BYX849873:BZE849873 CIT849873:CJA849873 CSP849873:CSW849873 DCL849873:DCS849873 DMH849873:DMO849873 DWD849873:DWK849873 EFZ849873:EGG849873 EPV849873:EQC849873 EZR849873:EZY849873 FJN849873:FJU849873 FTJ849873:FTQ849873 GDF849873:GDM849873 GNB849873:GNI849873 GWX849873:GXE849873 HGT849873:HHA849873 HQP849873:HQW849873 IAL849873:IAS849873 IKH849873:IKO849873 IUD849873:IUK849873 JDZ849873:JEG849873 JNV849873:JOC849873 JXR849873:JXY849873 KHN849873:KHU849873 KRJ849873:KRQ849873 LBF849873:LBM849873 LLB849873:LLI849873 LUX849873:LVE849873 MET849873:MFA849873 MOP849873:MOW849873 MYL849873:MYS849873 NIH849873:NIO849873 NSD849873:NSK849873 OBZ849873:OCG849873 OLV849873:OMC849873 OVR849873:OVY849873 PFN849873:PFU849873 PPJ849873:PPQ849873 PZF849873:PZM849873 QJB849873:QJI849873 QSX849873:QTE849873 RCT849873:RDA849873 RMP849873:RMW849873 RWL849873:RWS849873 SGH849873:SGO849873 SQD849873:SQK849873 SZZ849873:TAG849873 TJV849873:TKC849873 TTR849873:TTY849873 UDN849873:UDU849873 UNJ849873:UNQ849873 UXF849873:UXM849873 VHB849873:VHI849873 VQX849873:VRE849873 WAT849873:WBA849873 WKP849873:WKW849873 WUL849873:WUS849873 WUL55:WUS55 HZ915409:IG915409 RV915409:SC915409 ABR915409:ABY915409 ALN915409:ALU915409 AVJ915409:AVQ915409 BFF915409:BFM915409 BPB915409:BPI915409 BYX915409:BZE915409 CIT915409:CJA915409 CSP915409:CSW915409 DCL915409:DCS915409 DMH915409:DMO915409 DWD915409:DWK915409 EFZ915409:EGG915409 EPV915409:EQC915409 EZR915409:EZY915409 FJN915409:FJU915409 FTJ915409:FTQ915409 GDF915409:GDM915409 GNB915409:GNI915409 GWX915409:GXE915409 HGT915409:HHA915409 HQP915409:HQW915409 IAL915409:IAS915409 IKH915409:IKO915409 IUD915409:IUK915409 JDZ915409:JEG915409 JNV915409:JOC915409 JXR915409:JXY915409 KHN915409:KHU915409 KRJ915409:KRQ915409 LBF915409:LBM915409 LLB915409:LLI915409 LUX915409:LVE915409 MET915409:MFA915409 MOP915409:MOW915409 MYL915409:MYS915409 NIH915409:NIO915409 NSD915409:NSK915409 OBZ915409:OCG915409 OLV915409:OMC915409 OVR915409:OVY915409 PFN915409:PFU915409 PPJ915409:PPQ915409 PZF915409:PZM915409 QJB915409:QJI915409 QSX915409:QTE915409 RCT915409:RDA915409 RMP915409:RMW915409 RWL915409:RWS915409 SGH915409:SGO915409 SQD915409:SQK915409 SZZ915409:TAG915409 TJV915409:TKC915409 TTR915409:TTY915409 UDN915409:UDU915409 UNJ915409:UNQ915409 UXF915409:UXM915409 VHB915409:VHI915409 VQX915409:VRE915409 WAT915409:WBA915409 WKP915409:WKW915409 WUL915409:WUS915409 HZ55:IG55 HZ980945:IG980945 RV980945:SC980945 ABR980945:ABY980945 ALN980945:ALU980945 AVJ980945:AVQ980945 BFF980945:BFM980945 BPB980945:BPI980945 BYX980945:BZE980945 CIT980945:CJA980945 CSP980945:CSW980945 DCL980945:DCS980945 DMH980945:DMO980945 DWD980945:DWK980945 EFZ980945:EGG980945 EPV980945:EQC980945 EZR980945:EZY980945 FJN980945:FJU980945 FTJ980945:FTQ980945 GDF980945:GDM980945 GNB980945:GNI980945 GWX980945:GXE980945 HGT980945:HHA980945 HQP980945:HQW980945 IAL980945:IAS980945 IKH980945:IKO980945 IUD980945:IUK980945 JDZ980945:JEG980945 JNV980945:JOC980945 JXR980945:JXY980945 KHN980945:KHU980945 KRJ980945:KRQ980945 LBF980945:LBM980945 LLB980945:LLI980945 LUX980945:LVE980945 MET980945:MFA980945 MOP980945:MOW980945 MYL980945:MYS980945 NIH980945:NIO980945 NSD980945:NSK980945 OBZ980945:OCG980945 OLV980945:OMC980945 OVR980945:OVY980945 PFN980945:PFU980945 PPJ980945:PPQ980945 PZF980945:PZM980945 QJB980945:QJI980945 QSX980945:QTE980945 RCT980945:RDA980945 RMP980945:RMW980945 RWL980945:RWS980945 SGH980945:SGO980945 SQD980945:SQK980945 SZZ980945:TAG980945 TJV980945:TKC980945 TTR980945:TTY980945 UDN980945:UDU980945 UNJ980945:UNQ980945 UXF980945:UXM980945 VHB980945:VHI980945 VQX980945:VRE980945 WAT980945:WBA980945 HZ26:IG26 RV77:SC77 ABR77:ABY77 ALN77:ALU77 AVJ77:AVQ77 BFF77:BFM77 BPB77:BPI77 BYX77:BZE77 CIT77:CJA77 CSP77:CSW77 DCL77:DCS77 DMH77:DMO77 DWD77:DWK77 EFZ77:EGG77 EPV77:EQC77 EZR77:EZY77 FJN77:FJU77 FTJ77:FTQ77 GDF77:GDM77 GNB77:GNI77 GWX77:GXE77 HGT77:HHA77 HQP77:HQW77 IAL77:IAS77 IKH77:IKO77 IUD77:IUK77 JDZ77:JEG77 JNV77:JOC77 JXR77:JXY77 KHN77:KHU77 KRJ77:KRQ77 LBF77:LBM77 LLB77:LLI77 LUX77:LVE77 MET77:MFA77 MOP77:MOW77 MYL77:MYS77 NIH77:NIO77 NSD77:NSK77 OBZ77:OCG77 OLV77:OMC77 OVR77:OVY77 PFN77:PFU77 PPJ77:PPQ77 PZF77:PZM77 QJB77:QJI77 QSX77:QTE77 RCT77:RDA77 RMP77:RMW77 RWL77:RWS77 SGH77:SGO77 SQD77:SQK77 SZZ77:TAG77 TJV77:TKC77 TTR77:TTY77 UDN77:UDU77 UNJ77:UNQ77 UXF77:UXM77 VHB77:VHI77 VQX77:VRE77 WAT77:WBA77 WKP77:WKW77 WUL77:WUS77 HZ77:IG77 RV55:SC55 ABR55:ABY55 ALN55:ALU55 AVJ55:AVQ55 BFF55:BFM55 BPB55:BPI55 BYX55:BZE55 CIT55:CJA55 CSP55:CSW55 DCL55:DCS55 DMH55:DMO55 DWD55:DWK55 EFZ55:EGG55 EPV55:EQC55 EZR55:EZY55 FJN55:FJU55 FTJ55:FTQ55 GDF55:GDM55 GNB55:GNI55 GWX55:GXE55 HGT55:HHA55 HQP55:HQW55 IAL55:IAS55 IKH55:IKO55 IUD55:IUK55 JDZ55:JEG55 JNV55:JOC55 JXR55:JXY55 KHN55:KHU55 KRJ55:KRQ55 LBF55:LBM55 LLB55:LLI55 LUX55:LVE55 MET55:MFA55 MOP55:MOW55 MYL55:MYS55 NIH55:NIO55 NSD55:NSK55 OBZ55:OCG55 OLV55:OMC55 OVR55:OVY55 PFN55:PFU55 PPJ55:PPQ55 PZF55:PZM55 QJB55:QJI55 QSX55:QTE55 RCT55:RDA55 RMP55:RMW55 H980945 H63441 H128977 H194513 H260049 H325585 H391121 H456657 H522193 H587729 H653265 H718801 H784337 H849873 H915409" xr:uid="{00000000-0002-0000-0500-000002000000}">
      <formula1>"　　　,有り"</formula1>
    </dataValidation>
    <dataValidation type="list" allowBlank="1" showInputMessage="1" showErrorMessage="1" sqref="WUL980944:WUS980944 H915408 RMP54:RMW54 HZ63440:IG63440 RV63440:SC63440 ABR63440:ABY63440 ALN63440:ALU63440 AVJ63440:AVQ63440 BFF63440:BFM63440 BPB63440:BPI63440 BYX63440:BZE63440 CIT63440:CJA63440 CSP63440:CSW63440 DCL63440:DCS63440 DMH63440:DMO63440 DWD63440:DWK63440 EFZ63440:EGG63440 EPV63440:EQC63440 EZR63440:EZY63440 FJN63440:FJU63440 FTJ63440:FTQ63440 GDF63440:GDM63440 GNB63440:GNI63440 GWX63440:GXE63440 HGT63440:HHA63440 HQP63440:HQW63440 IAL63440:IAS63440 IKH63440:IKO63440 IUD63440:IUK63440 JDZ63440:JEG63440 JNV63440:JOC63440 JXR63440:JXY63440 KHN63440:KHU63440 KRJ63440:KRQ63440 LBF63440:LBM63440 LLB63440:LLI63440 LUX63440:LVE63440 MET63440:MFA63440 MOP63440:MOW63440 MYL63440:MYS63440 NIH63440:NIO63440 NSD63440:NSK63440 OBZ63440:OCG63440 OLV63440:OMC63440 OVR63440:OVY63440 PFN63440:PFU63440 PPJ63440:PPQ63440 PZF63440:PZM63440 QJB63440:QJI63440 QSX63440:QTE63440 RCT63440:RDA63440 RMP63440:RMW63440 RWL63440:RWS63440 SGH63440:SGO63440 SQD63440:SQK63440 SZZ63440:TAG63440 TJV63440:TKC63440 TTR63440:TTY63440 UDN63440:UDU63440 UNJ63440:UNQ63440 UXF63440:UXM63440 VHB63440:VHI63440 VQX63440:VRE63440 WAT63440:WBA63440 WKP63440:WKW63440 WUL63440:WUS63440 RWL54:RWS54 HZ128976:IG128976 RV128976:SC128976 ABR128976:ABY128976 ALN128976:ALU128976 AVJ128976:AVQ128976 BFF128976:BFM128976 BPB128976:BPI128976 BYX128976:BZE128976 CIT128976:CJA128976 CSP128976:CSW128976 DCL128976:DCS128976 DMH128976:DMO128976 DWD128976:DWK128976 EFZ128976:EGG128976 EPV128976:EQC128976 EZR128976:EZY128976 FJN128976:FJU128976 FTJ128976:FTQ128976 GDF128976:GDM128976 GNB128976:GNI128976 GWX128976:GXE128976 HGT128976:HHA128976 HQP128976:HQW128976 IAL128976:IAS128976 IKH128976:IKO128976 IUD128976:IUK128976 JDZ128976:JEG128976 JNV128976:JOC128976 JXR128976:JXY128976 KHN128976:KHU128976 KRJ128976:KRQ128976 LBF128976:LBM128976 LLB128976:LLI128976 LUX128976:LVE128976 MET128976:MFA128976 MOP128976:MOW128976 MYL128976:MYS128976 NIH128976:NIO128976 NSD128976:NSK128976 OBZ128976:OCG128976 OLV128976:OMC128976 OVR128976:OVY128976 PFN128976:PFU128976 PPJ128976:PPQ128976 PZF128976:PZM128976 QJB128976:QJI128976 QSX128976:QTE128976 RCT128976:RDA128976 RMP128976:RMW128976 RWL128976:RWS128976 SGH128976:SGO128976 SQD128976:SQK128976 SZZ128976:TAG128976 TJV128976:TKC128976 TTR128976:TTY128976 UDN128976:UDU128976 UNJ128976:UNQ128976 UXF128976:UXM128976 VHB128976:VHI128976 VQX128976:VRE128976 WAT128976:WBA128976 WKP128976:WKW128976 WUL128976:WUS128976 SGH54:SGO54 HZ194512:IG194512 RV194512:SC194512 ABR194512:ABY194512 ALN194512:ALU194512 AVJ194512:AVQ194512 BFF194512:BFM194512 BPB194512:BPI194512 BYX194512:BZE194512 CIT194512:CJA194512 CSP194512:CSW194512 DCL194512:DCS194512 DMH194512:DMO194512 DWD194512:DWK194512 EFZ194512:EGG194512 EPV194512:EQC194512 EZR194512:EZY194512 FJN194512:FJU194512 FTJ194512:FTQ194512 GDF194512:GDM194512 GNB194512:GNI194512 GWX194512:GXE194512 HGT194512:HHA194512 HQP194512:HQW194512 IAL194512:IAS194512 IKH194512:IKO194512 IUD194512:IUK194512 JDZ194512:JEG194512 JNV194512:JOC194512 JXR194512:JXY194512 KHN194512:KHU194512 KRJ194512:KRQ194512 LBF194512:LBM194512 LLB194512:LLI194512 LUX194512:LVE194512 MET194512:MFA194512 MOP194512:MOW194512 MYL194512:MYS194512 NIH194512:NIO194512 NSD194512:NSK194512 OBZ194512:OCG194512 OLV194512:OMC194512 OVR194512:OVY194512 PFN194512:PFU194512 PPJ194512:PPQ194512 PZF194512:PZM194512 QJB194512:QJI194512 QSX194512:QTE194512 RCT194512:RDA194512 RMP194512:RMW194512 RWL194512:RWS194512 SGH194512:SGO194512 SQD194512:SQK194512 SZZ194512:TAG194512 TJV194512:TKC194512 TTR194512:TTY194512 UDN194512:UDU194512 UNJ194512:UNQ194512 UXF194512:UXM194512 VHB194512:VHI194512 VQX194512:VRE194512 WAT194512:WBA194512 WKP194512:WKW194512 WUL194512:WUS194512 SQD54:SQK54 HZ260048:IG260048 RV260048:SC260048 ABR260048:ABY260048 ALN260048:ALU260048 AVJ260048:AVQ260048 BFF260048:BFM260048 BPB260048:BPI260048 BYX260048:BZE260048 CIT260048:CJA260048 CSP260048:CSW260048 DCL260048:DCS260048 DMH260048:DMO260048 DWD260048:DWK260048 EFZ260048:EGG260048 EPV260048:EQC260048 EZR260048:EZY260048 FJN260048:FJU260048 FTJ260048:FTQ260048 GDF260048:GDM260048 GNB260048:GNI260048 GWX260048:GXE260048 HGT260048:HHA260048 HQP260048:HQW260048 IAL260048:IAS260048 IKH260048:IKO260048 IUD260048:IUK260048 JDZ260048:JEG260048 JNV260048:JOC260048 JXR260048:JXY260048 KHN260048:KHU260048 KRJ260048:KRQ260048 LBF260048:LBM260048 LLB260048:LLI260048 LUX260048:LVE260048 MET260048:MFA260048 MOP260048:MOW260048 MYL260048:MYS260048 NIH260048:NIO260048 NSD260048:NSK260048 OBZ260048:OCG260048 OLV260048:OMC260048 OVR260048:OVY260048 PFN260048:PFU260048 PPJ260048:PPQ260048 PZF260048:PZM260048 QJB260048:QJI260048 QSX260048:QTE260048 RCT260048:RDA260048 RMP260048:RMW260048 RWL260048:RWS260048 SGH260048:SGO260048 SQD260048:SQK260048 SZZ260048:TAG260048 TJV260048:TKC260048 TTR260048:TTY260048 UDN260048:UDU260048 UNJ260048:UNQ260048 UXF260048:UXM260048 VHB260048:VHI260048 VQX260048:VRE260048 WAT260048:WBA260048 WKP260048:WKW260048 WUL260048:WUS260048 SZZ54:TAG54 HZ325584:IG325584 RV325584:SC325584 ABR325584:ABY325584 ALN325584:ALU325584 AVJ325584:AVQ325584 BFF325584:BFM325584 BPB325584:BPI325584 BYX325584:BZE325584 CIT325584:CJA325584 CSP325584:CSW325584 DCL325584:DCS325584 DMH325584:DMO325584 DWD325584:DWK325584 EFZ325584:EGG325584 EPV325584:EQC325584 EZR325584:EZY325584 FJN325584:FJU325584 FTJ325584:FTQ325584 GDF325584:GDM325584 GNB325584:GNI325584 GWX325584:GXE325584 HGT325584:HHA325584 HQP325584:HQW325584 IAL325584:IAS325584 IKH325584:IKO325584 IUD325584:IUK325584 JDZ325584:JEG325584 JNV325584:JOC325584 JXR325584:JXY325584 KHN325584:KHU325584 KRJ325584:KRQ325584 LBF325584:LBM325584 LLB325584:LLI325584 LUX325584:LVE325584 MET325584:MFA325584 MOP325584:MOW325584 MYL325584:MYS325584 NIH325584:NIO325584 NSD325584:NSK325584 OBZ325584:OCG325584 OLV325584:OMC325584 OVR325584:OVY325584 PFN325584:PFU325584 PPJ325584:PPQ325584 PZF325584:PZM325584 QJB325584:QJI325584 QSX325584:QTE325584 RCT325584:RDA325584 RMP325584:RMW325584 RWL325584:RWS325584 SGH325584:SGO325584 SQD325584:SQK325584 SZZ325584:TAG325584 TJV325584:TKC325584 TTR325584:TTY325584 UDN325584:UDU325584 UNJ325584:UNQ325584 UXF325584:UXM325584 VHB325584:VHI325584 VQX325584:VRE325584 WAT325584:WBA325584 WKP325584:WKW325584 WUL325584:WUS325584 TJV54:TKC54 HZ391120:IG391120 RV391120:SC391120 ABR391120:ABY391120 ALN391120:ALU391120 AVJ391120:AVQ391120 BFF391120:BFM391120 BPB391120:BPI391120 BYX391120:BZE391120 CIT391120:CJA391120 CSP391120:CSW391120 DCL391120:DCS391120 DMH391120:DMO391120 DWD391120:DWK391120 EFZ391120:EGG391120 EPV391120:EQC391120 EZR391120:EZY391120 FJN391120:FJU391120 FTJ391120:FTQ391120 GDF391120:GDM391120 GNB391120:GNI391120 GWX391120:GXE391120 HGT391120:HHA391120 HQP391120:HQW391120 IAL391120:IAS391120 IKH391120:IKO391120 IUD391120:IUK391120 JDZ391120:JEG391120 JNV391120:JOC391120 JXR391120:JXY391120 KHN391120:KHU391120 KRJ391120:KRQ391120 LBF391120:LBM391120 LLB391120:LLI391120 LUX391120:LVE391120 MET391120:MFA391120 MOP391120:MOW391120 MYL391120:MYS391120 NIH391120:NIO391120 NSD391120:NSK391120 OBZ391120:OCG391120 OLV391120:OMC391120 OVR391120:OVY391120 PFN391120:PFU391120 PPJ391120:PPQ391120 PZF391120:PZM391120 QJB391120:QJI391120 QSX391120:QTE391120 RCT391120:RDA391120 RMP391120:RMW391120 RWL391120:RWS391120 SGH391120:SGO391120 SQD391120:SQK391120 SZZ391120:TAG391120 TJV391120:TKC391120 TTR391120:TTY391120 UDN391120:UDU391120 UNJ391120:UNQ391120 UXF391120:UXM391120 VHB391120:VHI391120 VQX391120:VRE391120 WAT391120:WBA391120 WKP391120:WKW391120 WUL391120:WUS391120 TTR54:TTY54 HZ456656:IG456656 RV456656:SC456656 ABR456656:ABY456656 ALN456656:ALU456656 AVJ456656:AVQ456656 BFF456656:BFM456656 BPB456656:BPI456656 BYX456656:BZE456656 CIT456656:CJA456656 CSP456656:CSW456656 DCL456656:DCS456656 DMH456656:DMO456656 DWD456656:DWK456656 EFZ456656:EGG456656 EPV456656:EQC456656 EZR456656:EZY456656 FJN456656:FJU456656 FTJ456656:FTQ456656 GDF456656:GDM456656 GNB456656:GNI456656 GWX456656:GXE456656 HGT456656:HHA456656 HQP456656:HQW456656 IAL456656:IAS456656 IKH456656:IKO456656 IUD456656:IUK456656 JDZ456656:JEG456656 JNV456656:JOC456656 JXR456656:JXY456656 KHN456656:KHU456656 KRJ456656:KRQ456656 LBF456656:LBM456656 LLB456656:LLI456656 LUX456656:LVE456656 MET456656:MFA456656 MOP456656:MOW456656 MYL456656:MYS456656 NIH456656:NIO456656 NSD456656:NSK456656 OBZ456656:OCG456656 OLV456656:OMC456656 OVR456656:OVY456656 PFN456656:PFU456656 PPJ456656:PPQ456656 PZF456656:PZM456656 QJB456656:QJI456656 QSX456656:QTE456656 RCT456656:RDA456656 RMP456656:RMW456656 RWL456656:RWS456656 SGH456656:SGO456656 SQD456656:SQK456656 SZZ456656:TAG456656 TJV456656:TKC456656 TTR456656:TTY456656 UDN456656:UDU456656 UNJ456656:UNQ456656 UXF456656:UXM456656 VHB456656:VHI456656 VQX456656:VRE456656 WAT456656:WBA456656 WKP456656:WKW456656 WUL456656:WUS456656 UDN54:UDU54 HZ522192:IG522192 RV522192:SC522192 ABR522192:ABY522192 ALN522192:ALU522192 AVJ522192:AVQ522192 BFF522192:BFM522192 BPB522192:BPI522192 BYX522192:BZE522192 CIT522192:CJA522192 CSP522192:CSW522192 DCL522192:DCS522192 DMH522192:DMO522192 DWD522192:DWK522192 EFZ522192:EGG522192 EPV522192:EQC522192 EZR522192:EZY522192 FJN522192:FJU522192 FTJ522192:FTQ522192 GDF522192:GDM522192 GNB522192:GNI522192 GWX522192:GXE522192 HGT522192:HHA522192 HQP522192:HQW522192 IAL522192:IAS522192 IKH522192:IKO522192 IUD522192:IUK522192 JDZ522192:JEG522192 JNV522192:JOC522192 JXR522192:JXY522192 KHN522192:KHU522192 KRJ522192:KRQ522192 LBF522192:LBM522192 LLB522192:LLI522192 LUX522192:LVE522192 MET522192:MFA522192 MOP522192:MOW522192 MYL522192:MYS522192 NIH522192:NIO522192 NSD522192:NSK522192 OBZ522192:OCG522192 OLV522192:OMC522192 OVR522192:OVY522192 PFN522192:PFU522192 PPJ522192:PPQ522192 PZF522192:PZM522192 QJB522192:QJI522192 QSX522192:QTE522192 RCT522192:RDA522192 RMP522192:RMW522192 RWL522192:RWS522192 SGH522192:SGO522192 SQD522192:SQK522192 SZZ522192:TAG522192 TJV522192:TKC522192 TTR522192:TTY522192 UDN522192:UDU522192 UNJ522192:UNQ522192 UXF522192:UXM522192 VHB522192:VHI522192 VQX522192:VRE522192 WAT522192:WBA522192 WKP522192:WKW522192 WUL522192:WUS522192 UNJ54:UNQ54 HZ587728:IG587728 RV587728:SC587728 ABR587728:ABY587728 ALN587728:ALU587728 AVJ587728:AVQ587728 BFF587728:BFM587728 BPB587728:BPI587728 BYX587728:BZE587728 CIT587728:CJA587728 CSP587728:CSW587728 DCL587728:DCS587728 DMH587728:DMO587728 DWD587728:DWK587728 EFZ587728:EGG587728 EPV587728:EQC587728 EZR587728:EZY587728 FJN587728:FJU587728 FTJ587728:FTQ587728 GDF587728:GDM587728 GNB587728:GNI587728 GWX587728:GXE587728 HGT587728:HHA587728 HQP587728:HQW587728 IAL587728:IAS587728 IKH587728:IKO587728 IUD587728:IUK587728 JDZ587728:JEG587728 JNV587728:JOC587728 JXR587728:JXY587728 KHN587728:KHU587728 KRJ587728:KRQ587728 LBF587728:LBM587728 LLB587728:LLI587728 LUX587728:LVE587728 MET587728:MFA587728 MOP587728:MOW587728 MYL587728:MYS587728 NIH587728:NIO587728 NSD587728:NSK587728 OBZ587728:OCG587728 OLV587728:OMC587728 OVR587728:OVY587728 PFN587728:PFU587728 PPJ587728:PPQ587728 PZF587728:PZM587728 QJB587728:QJI587728 QSX587728:QTE587728 RCT587728:RDA587728 RMP587728:RMW587728 RWL587728:RWS587728 SGH587728:SGO587728 SQD587728:SQK587728 SZZ587728:TAG587728 TJV587728:TKC587728 TTR587728:TTY587728 UDN587728:UDU587728 UNJ587728:UNQ587728 UXF587728:UXM587728 VHB587728:VHI587728 VQX587728:VRE587728 WAT587728:WBA587728 WKP587728:WKW587728 WUL587728:WUS587728 UXF54:UXM54 HZ653264:IG653264 RV653264:SC653264 ABR653264:ABY653264 ALN653264:ALU653264 AVJ653264:AVQ653264 BFF653264:BFM653264 BPB653264:BPI653264 BYX653264:BZE653264 CIT653264:CJA653264 CSP653264:CSW653264 DCL653264:DCS653264 DMH653264:DMO653264 DWD653264:DWK653264 EFZ653264:EGG653264 EPV653264:EQC653264 EZR653264:EZY653264 FJN653264:FJU653264 FTJ653264:FTQ653264 GDF653264:GDM653264 GNB653264:GNI653264 GWX653264:GXE653264 HGT653264:HHA653264 HQP653264:HQW653264 IAL653264:IAS653264 IKH653264:IKO653264 IUD653264:IUK653264 JDZ653264:JEG653264 JNV653264:JOC653264 JXR653264:JXY653264 KHN653264:KHU653264 KRJ653264:KRQ653264 LBF653264:LBM653264 LLB653264:LLI653264 LUX653264:LVE653264 MET653264:MFA653264 MOP653264:MOW653264 MYL653264:MYS653264 NIH653264:NIO653264 NSD653264:NSK653264 OBZ653264:OCG653264 OLV653264:OMC653264 OVR653264:OVY653264 PFN653264:PFU653264 PPJ653264:PPQ653264 PZF653264:PZM653264 QJB653264:QJI653264 QSX653264:QTE653264 RCT653264:RDA653264 RMP653264:RMW653264 RWL653264:RWS653264 SGH653264:SGO653264 SQD653264:SQK653264 SZZ653264:TAG653264 TJV653264:TKC653264 TTR653264:TTY653264 UDN653264:UDU653264 UNJ653264:UNQ653264 UXF653264:UXM653264 VHB653264:VHI653264 VQX653264:VRE653264 WAT653264:WBA653264 WKP653264:WKW653264 WUL653264:WUS653264 VHB54:VHI54 HZ718800:IG718800 RV718800:SC718800 ABR718800:ABY718800 ALN718800:ALU718800 AVJ718800:AVQ718800 BFF718800:BFM718800 BPB718800:BPI718800 BYX718800:BZE718800 CIT718800:CJA718800 CSP718800:CSW718800 DCL718800:DCS718800 DMH718800:DMO718800 DWD718800:DWK718800 EFZ718800:EGG718800 EPV718800:EQC718800 EZR718800:EZY718800 FJN718800:FJU718800 FTJ718800:FTQ718800 GDF718800:GDM718800 GNB718800:GNI718800 GWX718800:GXE718800 HGT718800:HHA718800 HQP718800:HQW718800 IAL718800:IAS718800 IKH718800:IKO718800 IUD718800:IUK718800 JDZ718800:JEG718800 JNV718800:JOC718800 JXR718800:JXY718800 KHN718800:KHU718800 KRJ718800:KRQ718800 LBF718800:LBM718800 LLB718800:LLI718800 LUX718800:LVE718800 MET718800:MFA718800 MOP718800:MOW718800 MYL718800:MYS718800 NIH718800:NIO718800 NSD718800:NSK718800 OBZ718800:OCG718800 OLV718800:OMC718800 OVR718800:OVY718800 PFN718800:PFU718800 PPJ718800:PPQ718800 PZF718800:PZM718800 QJB718800:QJI718800 QSX718800:QTE718800 RCT718800:RDA718800 RMP718800:RMW718800 RWL718800:RWS718800 SGH718800:SGO718800 SQD718800:SQK718800 SZZ718800:TAG718800 TJV718800:TKC718800 TTR718800:TTY718800 UDN718800:UDU718800 UNJ718800:UNQ718800 UXF718800:UXM718800 VHB718800:VHI718800 VQX718800:VRE718800 WAT718800:WBA718800 WKP718800:WKW718800 WUL718800:WUS718800 VQX54:VRE54 HZ784336:IG784336 RV784336:SC784336 ABR784336:ABY784336 ALN784336:ALU784336 AVJ784336:AVQ784336 BFF784336:BFM784336 BPB784336:BPI784336 BYX784336:BZE784336 CIT784336:CJA784336 CSP784336:CSW784336 DCL784336:DCS784336 DMH784336:DMO784336 DWD784336:DWK784336 EFZ784336:EGG784336 EPV784336:EQC784336 EZR784336:EZY784336 FJN784336:FJU784336 FTJ784336:FTQ784336 GDF784336:GDM784336 GNB784336:GNI784336 GWX784336:GXE784336 HGT784336:HHA784336 HQP784336:HQW784336 IAL784336:IAS784336 IKH784336:IKO784336 IUD784336:IUK784336 JDZ784336:JEG784336 JNV784336:JOC784336 JXR784336:JXY784336 KHN784336:KHU784336 KRJ784336:KRQ784336 LBF784336:LBM784336 LLB784336:LLI784336 LUX784336:LVE784336 MET784336:MFA784336 MOP784336:MOW784336 MYL784336:MYS784336 NIH784336:NIO784336 NSD784336:NSK784336 OBZ784336:OCG784336 OLV784336:OMC784336 OVR784336:OVY784336 PFN784336:PFU784336 PPJ784336:PPQ784336 PZF784336:PZM784336 QJB784336:QJI784336 QSX784336:QTE784336 RCT784336:RDA784336 RMP784336:RMW784336 RWL784336:RWS784336 SGH784336:SGO784336 SQD784336:SQK784336 SZZ784336:TAG784336 TJV784336:TKC784336 TTR784336:TTY784336 UDN784336:UDU784336 UNJ784336:UNQ784336 UXF784336:UXM784336 VHB784336:VHI784336 VQX784336:VRE784336 WAT784336:WBA784336 WKP784336:WKW784336 WUL784336:WUS784336 WAT54:WBA54 HZ849872:IG849872 RV849872:SC849872 ABR849872:ABY849872 ALN849872:ALU849872 AVJ849872:AVQ849872 BFF849872:BFM849872 BPB849872:BPI849872 BYX849872:BZE849872 CIT849872:CJA849872 CSP849872:CSW849872 DCL849872:DCS849872 DMH849872:DMO849872 DWD849872:DWK849872 EFZ849872:EGG849872 EPV849872:EQC849872 EZR849872:EZY849872 FJN849872:FJU849872 FTJ849872:FTQ849872 GDF849872:GDM849872 GNB849872:GNI849872 GWX849872:GXE849872 HGT849872:HHA849872 HQP849872:HQW849872 IAL849872:IAS849872 IKH849872:IKO849872 IUD849872:IUK849872 JDZ849872:JEG849872 JNV849872:JOC849872 JXR849872:JXY849872 KHN849872:KHU849872 KRJ849872:KRQ849872 LBF849872:LBM849872 LLB849872:LLI849872 LUX849872:LVE849872 MET849872:MFA849872 MOP849872:MOW849872 MYL849872:MYS849872 NIH849872:NIO849872 NSD849872:NSK849872 OBZ849872:OCG849872 OLV849872:OMC849872 OVR849872:OVY849872 PFN849872:PFU849872 PPJ849872:PPQ849872 PZF849872:PZM849872 QJB849872:QJI849872 QSX849872:QTE849872 RCT849872:RDA849872 RMP849872:RMW849872 RWL849872:RWS849872 SGH849872:SGO849872 SQD849872:SQK849872 SZZ849872:TAG849872 TJV849872:TKC849872 TTR849872:TTY849872 UDN849872:UDU849872 UNJ849872:UNQ849872 UXF849872:UXM849872 VHB849872:VHI849872 VQX849872:VRE849872 WAT849872:WBA849872 WKP849872:WKW849872 WUL849872:WUS849872 WKP54:WKW54 HZ915408:IG915408 RV915408:SC915408 ABR915408:ABY915408 ALN915408:ALU915408 AVJ915408:AVQ915408 BFF915408:BFM915408 BPB915408:BPI915408 BYX915408:BZE915408 CIT915408:CJA915408 CSP915408:CSW915408 DCL915408:DCS915408 DMH915408:DMO915408 DWD915408:DWK915408 EFZ915408:EGG915408 EPV915408:EQC915408 EZR915408:EZY915408 FJN915408:FJU915408 FTJ915408:FTQ915408 GDF915408:GDM915408 GNB915408:GNI915408 GWX915408:GXE915408 HGT915408:HHA915408 HQP915408:HQW915408 IAL915408:IAS915408 IKH915408:IKO915408 IUD915408:IUK915408 JDZ915408:JEG915408 JNV915408:JOC915408 JXR915408:JXY915408 KHN915408:KHU915408 KRJ915408:KRQ915408 LBF915408:LBM915408 LLB915408:LLI915408 LUX915408:LVE915408 MET915408:MFA915408 MOP915408:MOW915408 MYL915408:MYS915408 NIH915408:NIO915408 NSD915408:NSK915408 OBZ915408:OCG915408 OLV915408:OMC915408 OVR915408:OVY915408 PFN915408:PFU915408 PPJ915408:PPQ915408 PZF915408:PZM915408 QJB915408:QJI915408 QSX915408:QTE915408 RCT915408:RDA915408 RMP915408:RMW915408 RWL915408:RWS915408 SGH915408:SGO915408 SQD915408:SQK915408 SZZ915408:TAG915408 TJV915408:TKC915408 TTR915408:TTY915408 UDN915408:UDU915408 UNJ915408:UNQ915408 UXF915408:UXM915408 VHB915408:VHI915408 VQX915408:VRE915408 WAT915408:WBA915408 WKP915408:WKW915408 WUL915408:WUS915408 WUL54:WUS54 HZ980944:IG980944 RV980944:SC980944 ABR980944:ABY980944 ALN980944:ALU980944 AVJ980944:AVQ980944 BFF980944:BFM980944 BPB980944:BPI980944 BYX980944:BZE980944 CIT980944:CJA980944 CSP980944:CSW980944 DCL980944:DCS980944 DMH980944:DMO980944 DWD980944:DWK980944 EFZ980944:EGG980944 EPV980944:EQC980944 EZR980944:EZY980944 FJN980944:FJU980944 FTJ980944:FTQ980944 GDF980944:GDM980944 GNB980944:GNI980944 GWX980944:GXE980944 HGT980944:HHA980944 HQP980944:HQW980944 IAL980944:IAS980944 IKH980944:IKO980944 IUD980944:IUK980944 JDZ980944:JEG980944 JNV980944:JOC980944 JXR980944:JXY980944 KHN980944:KHU980944 KRJ980944:KRQ980944 LBF980944:LBM980944 LLB980944:LLI980944 LUX980944:LVE980944 MET980944:MFA980944 MOP980944:MOW980944 MYL980944:MYS980944 NIH980944:NIO980944 NSD980944:NSK980944 OBZ980944:OCG980944 OLV980944:OMC980944 OVR980944:OVY980944 PFN980944:PFU980944 PPJ980944:PPQ980944 PZF980944:PZM980944 QJB980944:QJI980944 QSX980944:QTE980944 RCT980944:RDA980944 RMP980944:RMW980944 RWL980944:RWS980944 SGH980944:SGO980944 SQD980944:SQK980944 SZZ980944:TAG980944 TJV980944:TKC980944 TTR980944:TTY980944 UDN980944:UDU980944 UNJ980944:UNQ980944 UXF980944:UXM980944 VHB980944:VHI980944 VQX980944:VRE980944 WAT980944:WBA980944 WKP980944:WKW980944 HZ76:IG76 RV76:SC76 ABR76:ABY76 ALN76:ALU76 AVJ76:AVQ76 BFF76:BFM76 BPB76:BPI76 BYX76:BZE76 CIT76:CJA76 CSP76:CSW76 DCL76:DCS76 DMH76:DMO76 DWD76:DWK76 EFZ76:EGG76 EPV76:EQC76 EZR76:EZY76 FJN76:FJU76 FTJ76:FTQ76 GDF76:GDM76 GNB76:GNI76 GWX76:GXE76 HGT76:HHA76 HQP76:HQW76 IAL76:IAS76 IKH76:IKO76 IUD76:IUK76 JDZ76:JEG76 JNV76:JOC76 JXR76:JXY76 KHN76:KHU76 KRJ76:KRQ76 LBF76:LBM76 LLB76:LLI76 LUX76:LVE76 MET76:MFA76 MOP76:MOW76 MYL76:MYS76 NIH76:NIO76 NSD76:NSK76 OBZ76:OCG76 OLV76:OMC76 OVR76:OVY76 PFN76:PFU76 PPJ76:PPQ76 PZF76:PZM76 QJB76:QJI76 QSX76:QTE76 RCT76:RDA76 RMP76:RMW76 RWL76:RWS76 SGH76:SGO76 SQD76:SQK76 SZZ76:TAG76 TJV76:TKC76 TTR76:TTY76 UDN76:UDU76 UNJ76:UNQ76 UXF76:UXM76 VHB76:VHI76 VQX76:VRE76 WAT76:WBA76 WKP76:WKW76 WUL76:WUS76 HZ54:IG54 RV54:SC54 ABR54:ABY54 ALN54:ALU54 AVJ54:AVQ54 BFF54:BFM54 BPB54:BPI54 BYX54:BZE54 CIT54:CJA54 CSP54:CSW54 DCL54:DCS54 DMH54:DMO54 DWD54:DWK54 EFZ54:EGG54 EPV54:EQC54 EZR54:EZY54 FJN54:FJU54 FTJ54:FTQ54 GDF54:GDM54 GNB54:GNI54 GWX54:GXE54 HGT54:HHA54 HQP54:HQW54 IAL54:IAS54 IKH54:IKO54 IUD54:IUK54 JDZ54:JEG54 JNV54:JOC54 JXR54:JXY54 KHN54:KHU54 KRJ54:KRQ54 LBF54:LBM54 LLB54:LLI54 LUX54:LVE54 MET54:MFA54 MOP54:MOW54 MYL54:MYS54 NIH54:NIO54 NSD54:NSK54 OBZ54:OCG54 OLV54:OMC54 OVR54:OVY54 PFN54:PFU54 PPJ54:PPQ54 PZF54:PZM54 QJB54:QJI54 QSX54:QTE54 RCT54:RDA54 H980944 H63440 H128976 H194512 H260048 H325584 H391120 H456656 H522192 H587728 H653264 H718800 H784336 HZ22:IG25 WUL19:WUS20 WKP19:WKW20 WAT19:WBA20 VQX19:VRE20 VHB19:VHI20 UXF19:UXM20 UNJ19:UNQ20 UDN19:UDU20 TTR19:TTY20 TJV19:TKC20 SZZ19:TAG20 SQD19:SQK20 SGH19:SGO20 RWL19:RWS20 RMP19:RMW20 RCT19:RDA20 QSX19:QTE20 QJB19:QJI20 PZF19:PZM20 PPJ19:PPQ20 PFN19:PFU20 OVR19:OVY20 OLV19:OMC20 OBZ19:OCG20 NSD19:NSK20 NIH19:NIO20 MYL19:MYS20 MOP19:MOW20 MET19:MFA20 LUX19:LVE20 LLB19:LLI20 LBF19:LBM20 KRJ19:KRQ20 KHN19:KHU20 JXR19:JXY20 JNV19:JOC20 JDZ19:JEG20 IUD19:IUK20 IKH19:IKO20 IAL19:IAS20 HQP19:HQW20 HGT19:HHA20 GWX19:GXE20 GNB19:GNI20 GDF19:GDM20 FTJ19:FTQ20 FJN19:FJU20 EZR19:EZY20 EPV19:EQC20 EFZ19:EGG20 DWD19:DWK20 DMH19:DMO20 DCL19:DCS20 CSP19:CSW20 CIT19:CJA20 BYX19:BZE20 BPB19:BPI20 BFF19:BFM20 AVJ19:AVQ20 ALN19:ALU20 ABR19:ABY20 RV19:SC20 HZ19:IG20 RV22:SC25 ABR22:ABY25 ALN22:ALU25 AVJ22:AVQ25 BFF22:BFM25 BPB22:BPI25 BYX22:BZE25 CIT22:CJA25 CSP22:CSW25 DCL22:DCS25 DMH22:DMO25 DWD22:DWK25 EFZ22:EGG25 EPV22:EQC25 EZR22:EZY25 FJN22:FJU25 FTJ22:FTQ25 GDF22:GDM25 GNB22:GNI25 GWX22:GXE25 HGT22:HHA25 HQP22:HQW25 IAL22:IAS25 IKH22:IKO25 IUD22:IUK25 JDZ22:JEG25 JNV22:JOC25 JXR22:JXY25 KHN22:KHU25 KRJ22:KRQ25 LBF22:LBM25 LLB22:LLI25 LUX22:LVE25 MET22:MFA25 MOP22:MOW25 MYL22:MYS25 NIH22:NIO25 NSD22:NSK25 OBZ22:OCG25 OLV22:OMC25 OVR22:OVY25 PFN22:PFU25 PPJ22:PPQ25 PZF22:PZM25 QJB22:QJI25 QSX22:QTE25 RCT22:RDA25 RMP22:RMW25 RWL22:RWS25 SGH22:SGO25 SQD22:SQK25 SZZ22:TAG25 TJV22:TKC25 TTR22:TTY25 UDN22:UDU25 UNJ22:UNQ25 UXF22:UXM25 VHB22:VHI25 VQX22:VRE25 WAT22:WBA25 WKP22:WKW25 WUL22:WUS25 H849872" xr:uid="{00000000-0002-0000-0500-000003000000}">
      <formula1>"積上げ,積上げ・率処理併用"</formula1>
    </dataValidation>
    <dataValidation type="list" allowBlank="1" showInputMessage="1" showErrorMessage="1" sqref="WUJ980944:WUJ980945 WKN980944:WKN980945 F63440:F63441 HX63440:HX63441 RT63440:RT63441 ABP63440:ABP63441 ALL63440:ALL63441 AVH63440:AVH63441 BFD63440:BFD63441 BOZ63440:BOZ63441 BYV63440:BYV63441 CIR63440:CIR63441 CSN63440:CSN63441 DCJ63440:DCJ63441 DMF63440:DMF63441 DWB63440:DWB63441 EFX63440:EFX63441 EPT63440:EPT63441 EZP63440:EZP63441 FJL63440:FJL63441 FTH63440:FTH63441 GDD63440:GDD63441 GMZ63440:GMZ63441 GWV63440:GWV63441 HGR63440:HGR63441 HQN63440:HQN63441 IAJ63440:IAJ63441 IKF63440:IKF63441 IUB63440:IUB63441 JDX63440:JDX63441 JNT63440:JNT63441 JXP63440:JXP63441 KHL63440:KHL63441 KRH63440:KRH63441 LBD63440:LBD63441 LKZ63440:LKZ63441 LUV63440:LUV63441 MER63440:MER63441 MON63440:MON63441 MYJ63440:MYJ63441 NIF63440:NIF63441 NSB63440:NSB63441 OBX63440:OBX63441 OLT63440:OLT63441 OVP63440:OVP63441 PFL63440:PFL63441 PPH63440:PPH63441 PZD63440:PZD63441 QIZ63440:QIZ63441 QSV63440:QSV63441 RCR63440:RCR63441 RMN63440:RMN63441 RWJ63440:RWJ63441 SGF63440:SGF63441 SQB63440:SQB63441 SZX63440:SZX63441 TJT63440:TJT63441 TTP63440:TTP63441 UDL63440:UDL63441 UNH63440:UNH63441 UXD63440:UXD63441 VGZ63440:VGZ63441 VQV63440:VQV63441 WAR63440:WAR63441 WKN63440:WKN63441 WUJ63440:WUJ63441 F128976:F128977 HX128976:HX128977 RT128976:RT128977 ABP128976:ABP128977 ALL128976:ALL128977 AVH128976:AVH128977 BFD128976:BFD128977 BOZ128976:BOZ128977 BYV128976:BYV128977 CIR128976:CIR128977 CSN128976:CSN128977 DCJ128976:DCJ128977 DMF128976:DMF128977 DWB128976:DWB128977 EFX128976:EFX128977 EPT128976:EPT128977 EZP128976:EZP128977 FJL128976:FJL128977 FTH128976:FTH128977 GDD128976:GDD128977 GMZ128976:GMZ128977 GWV128976:GWV128977 HGR128976:HGR128977 HQN128976:HQN128977 IAJ128976:IAJ128977 IKF128976:IKF128977 IUB128976:IUB128977 JDX128976:JDX128977 JNT128976:JNT128977 JXP128976:JXP128977 KHL128976:KHL128977 KRH128976:KRH128977 LBD128976:LBD128977 LKZ128976:LKZ128977 LUV128976:LUV128977 MER128976:MER128977 MON128976:MON128977 MYJ128976:MYJ128977 NIF128976:NIF128977 NSB128976:NSB128977 OBX128976:OBX128977 OLT128976:OLT128977 OVP128976:OVP128977 PFL128976:PFL128977 PPH128976:PPH128977 PZD128976:PZD128977 QIZ128976:QIZ128977 QSV128976:QSV128977 RCR128976:RCR128977 RMN128976:RMN128977 RWJ128976:RWJ128977 SGF128976:SGF128977 SQB128976:SQB128977 SZX128976:SZX128977 TJT128976:TJT128977 TTP128976:TTP128977 UDL128976:UDL128977 UNH128976:UNH128977 UXD128976:UXD128977 VGZ128976:VGZ128977 VQV128976:VQV128977 WAR128976:WAR128977 WKN128976:WKN128977 WUJ128976:WUJ128977 F194512:F194513 HX194512:HX194513 RT194512:RT194513 ABP194512:ABP194513 ALL194512:ALL194513 AVH194512:AVH194513 BFD194512:BFD194513 BOZ194512:BOZ194513 BYV194512:BYV194513 CIR194512:CIR194513 CSN194512:CSN194513 DCJ194512:DCJ194513 DMF194512:DMF194513 DWB194512:DWB194513 EFX194512:EFX194513 EPT194512:EPT194513 EZP194512:EZP194513 FJL194512:FJL194513 FTH194512:FTH194513 GDD194512:GDD194513 GMZ194512:GMZ194513 GWV194512:GWV194513 HGR194512:HGR194513 HQN194512:HQN194513 IAJ194512:IAJ194513 IKF194512:IKF194513 IUB194512:IUB194513 JDX194512:JDX194513 JNT194512:JNT194513 JXP194512:JXP194513 KHL194512:KHL194513 KRH194512:KRH194513 LBD194512:LBD194513 LKZ194512:LKZ194513 LUV194512:LUV194513 MER194512:MER194513 MON194512:MON194513 MYJ194512:MYJ194513 NIF194512:NIF194513 NSB194512:NSB194513 OBX194512:OBX194513 OLT194512:OLT194513 OVP194512:OVP194513 PFL194512:PFL194513 PPH194512:PPH194513 PZD194512:PZD194513 QIZ194512:QIZ194513 QSV194512:QSV194513 RCR194512:RCR194513 RMN194512:RMN194513 RWJ194512:RWJ194513 SGF194512:SGF194513 SQB194512:SQB194513 SZX194512:SZX194513 TJT194512:TJT194513 TTP194512:TTP194513 UDL194512:UDL194513 UNH194512:UNH194513 UXD194512:UXD194513 VGZ194512:VGZ194513 VQV194512:VQV194513 WAR194512:WAR194513 WKN194512:WKN194513 WUJ194512:WUJ194513 F260048:F260049 HX260048:HX260049 RT260048:RT260049 ABP260048:ABP260049 ALL260048:ALL260049 AVH260048:AVH260049 BFD260048:BFD260049 BOZ260048:BOZ260049 BYV260048:BYV260049 CIR260048:CIR260049 CSN260048:CSN260049 DCJ260048:DCJ260049 DMF260048:DMF260049 DWB260048:DWB260049 EFX260048:EFX260049 EPT260048:EPT260049 EZP260048:EZP260049 FJL260048:FJL260049 FTH260048:FTH260049 GDD260048:GDD260049 GMZ260048:GMZ260049 GWV260048:GWV260049 HGR260048:HGR260049 HQN260048:HQN260049 IAJ260048:IAJ260049 IKF260048:IKF260049 IUB260048:IUB260049 JDX260048:JDX260049 JNT260048:JNT260049 JXP260048:JXP260049 KHL260048:KHL260049 KRH260048:KRH260049 LBD260048:LBD260049 LKZ260048:LKZ260049 LUV260048:LUV260049 MER260048:MER260049 MON260048:MON260049 MYJ260048:MYJ260049 NIF260048:NIF260049 NSB260048:NSB260049 OBX260048:OBX260049 OLT260048:OLT260049 OVP260048:OVP260049 PFL260048:PFL260049 PPH260048:PPH260049 PZD260048:PZD260049 QIZ260048:QIZ260049 QSV260048:QSV260049 RCR260048:RCR260049 RMN260048:RMN260049 RWJ260048:RWJ260049 SGF260048:SGF260049 SQB260048:SQB260049 SZX260048:SZX260049 TJT260048:TJT260049 TTP260048:TTP260049 UDL260048:UDL260049 UNH260048:UNH260049 UXD260048:UXD260049 VGZ260048:VGZ260049 VQV260048:VQV260049 WAR260048:WAR260049 WKN260048:WKN260049 WUJ260048:WUJ260049 F325584:F325585 HX325584:HX325585 RT325584:RT325585 ABP325584:ABP325585 ALL325584:ALL325585 AVH325584:AVH325585 BFD325584:BFD325585 BOZ325584:BOZ325585 BYV325584:BYV325585 CIR325584:CIR325585 CSN325584:CSN325585 DCJ325584:DCJ325585 DMF325584:DMF325585 DWB325584:DWB325585 EFX325584:EFX325585 EPT325584:EPT325585 EZP325584:EZP325585 FJL325584:FJL325585 FTH325584:FTH325585 GDD325584:GDD325585 GMZ325584:GMZ325585 GWV325584:GWV325585 HGR325584:HGR325585 HQN325584:HQN325585 IAJ325584:IAJ325585 IKF325584:IKF325585 IUB325584:IUB325585 JDX325584:JDX325585 JNT325584:JNT325585 JXP325584:JXP325585 KHL325584:KHL325585 KRH325584:KRH325585 LBD325584:LBD325585 LKZ325584:LKZ325585 LUV325584:LUV325585 MER325584:MER325585 MON325584:MON325585 MYJ325584:MYJ325585 NIF325584:NIF325585 NSB325584:NSB325585 OBX325584:OBX325585 OLT325584:OLT325585 OVP325584:OVP325585 PFL325584:PFL325585 PPH325584:PPH325585 PZD325584:PZD325585 QIZ325584:QIZ325585 QSV325584:QSV325585 RCR325584:RCR325585 RMN325584:RMN325585 RWJ325584:RWJ325585 SGF325584:SGF325585 SQB325584:SQB325585 SZX325584:SZX325585 TJT325584:TJT325585 TTP325584:TTP325585 UDL325584:UDL325585 UNH325584:UNH325585 UXD325584:UXD325585 VGZ325584:VGZ325585 VQV325584:VQV325585 WAR325584:WAR325585 WKN325584:WKN325585 WUJ325584:WUJ325585 F391120:F391121 HX391120:HX391121 RT391120:RT391121 ABP391120:ABP391121 ALL391120:ALL391121 AVH391120:AVH391121 BFD391120:BFD391121 BOZ391120:BOZ391121 BYV391120:BYV391121 CIR391120:CIR391121 CSN391120:CSN391121 DCJ391120:DCJ391121 DMF391120:DMF391121 DWB391120:DWB391121 EFX391120:EFX391121 EPT391120:EPT391121 EZP391120:EZP391121 FJL391120:FJL391121 FTH391120:FTH391121 GDD391120:GDD391121 GMZ391120:GMZ391121 GWV391120:GWV391121 HGR391120:HGR391121 HQN391120:HQN391121 IAJ391120:IAJ391121 IKF391120:IKF391121 IUB391120:IUB391121 JDX391120:JDX391121 JNT391120:JNT391121 JXP391120:JXP391121 KHL391120:KHL391121 KRH391120:KRH391121 LBD391120:LBD391121 LKZ391120:LKZ391121 LUV391120:LUV391121 MER391120:MER391121 MON391120:MON391121 MYJ391120:MYJ391121 NIF391120:NIF391121 NSB391120:NSB391121 OBX391120:OBX391121 OLT391120:OLT391121 OVP391120:OVP391121 PFL391120:PFL391121 PPH391120:PPH391121 PZD391120:PZD391121 QIZ391120:QIZ391121 QSV391120:QSV391121 RCR391120:RCR391121 RMN391120:RMN391121 RWJ391120:RWJ391121 SGF391120:SGF391121 SQB391120:SQB391121 SZX391120:SZX391121 TJT391120:TJT391121 TTP391120:TTP391121 UDL391120:UDL391121 UNH391120:UNH391121 UXD391120:UXD391121 VGZ391120:VGZ391121 VQV391120:VQV391121 WAR391120:WAR391121 WKN391120:WKN391121 WUJ391120:WUJ391121 F456656:F456657 HX456656:HX456657 RT456656:RT456657 ABP456656:ABP456657 ALL456656:ALL456657 AVH456656:AVH456657 BFD456656:BFD456657 BOZ456656:BOZ456657 BYV456656:BYV456657 CIR456656:CIR456657 CSN456656:CSN456657 DCJ456656:DCJ456657 DMF456656:DMF456657 DWB456656:DWB456657 EFX456656:EFX456657 EPT456656:EPT456657 EZP456656:EZP456657 FJL456656:FJL456657 FTH456656:FTH456657 GDD456656:GDD456657 GMZ456656:GMZ456657 GWV456656:GWV456657 HGR456656:HGR456657 HQN456656:HQN456657 IAJ456656:IAJ456657 IKF456656:IKF456657 IUB456656:IUB456657 JDX456656:JDX456657 JNT456656:JNT456657 JXP456656:JXP456657 KHL456656:KHL456657 KRH456656:KRH456657 LBD456656:LBD456657 LKZ456656:LKZ456657 LUV456656:LUV456657 MER456656:MER456657 MON456656:MON456657 MYJ456656:MYJ456657 NIF456656:NIF456657 NSB456656:NSB456657 OBX456656:OBX456657 OLT456656:OLT456657 OVP456656:OVP456657 PFL456656:PFL456657 PPH456656:PPH456657 PZD456656:PZD456657 QIZ456656:QIZ456657 QSV456656:QSV456657 RCR456656:RCR456657 RMN456656:RMN456657 RWJ456656:RWJ456657 SGF456656:SGF456657 SQB456656:SQB456657 SZX456656:SZX456657 TJT456656:TJT456657 TTP456656:TTP456657 UDL456656:UDL456657 UNH456656:UNH456657 UXD456656:UXD456657 VGZ456656:VGZ456657 VQV456656:VQV456657 WAR456656:WAR456657 WKN456656:WKN456657 WUJ456656:WUJ456657 F522192:F522193 HX522192:HX522193 RT522192:RT522193 ABP522192:ABP522193 ALL522192:ALL522193 AVH522192:AVH522193 BFD522192:BFD522193 BOZ522192:BOZ522193 BYV522192:BYV522193 CIR522192:CIR522193 CSN522192:CSN522193 DCJ522192:DCJ522193 DMF522192:DMF522193 DWB522192:DWB522193 EFX522192:EFX522193 EPT522192:EPT522193 EZP522192:EZP522193 FJL522192:FJL522193 FTH522192:FTH522193 GDD522192:GDD522193 GMZ522192:GMZ522193 GWV522192:GWV522193 HGR522192:HGR522193 HQN522192:HQN522193 IAJ522192:IAJ522193 IKF522192:IKF522193 IUB522192:IUB522193 JDX522192:JDX522193 JNT522192:JNT522193 JXP522192:JXP522193 KHL522192:KHL522193 KRH522192:KRH522193 LBD522192:LBD522193 LKZ522192:LKZ522193 LUV522192:LUV522193 MER522192:MER522193 MON522192:MON522193 MYJ522192:MYJ522193 NIF522192:NIF522193 NSB522192:NSB522193 OBX522192:OBX522193 OLT522192:OLT522193 OVP522192:OVP522193 PFL522192:PFL522193 PPH522192:PPH522193 PZD522192:PZD522193 QIZ522192:QIZ522193 QSV522192:QSV522193 RCR522192:RCR522193 RMN522192:RMN522193 RWJ522192:RWJ522193 SGF522192:SGF522193 SQB522192:SQB522193 SZX522192:SZX522193 TJT522192:TJT522193 TTP522192:TTP522193 UDL522192:UDL522193 UNH522192:UNH522193 UXD522192:UXD522193 VGZ522192:VGZ522193 VQV522192:VQV522193 WAR522192:WAR522193 WKN522192:WKN522193 WUJ522192:WUJ522193 F587728:F587729 HX587728:HX587729 RT587728:RT587729 ABP587728:ABP587729 ALL587728:ALL587729 AVH587728:AVH587729 BFD587728:BFD587729 BOZ587728:BOZ587729 BYV587728:BYV587729 CIR587728:CIR587729 CSN587728:CSN587729 DCJ587728:DCJ587729 DMF587728:DMF587729 DWB587728:DWB587729 EFX587728:EFX587729 EPT587728:EPT587729 EZP587728:EZP587729 FJL587728:FJL587729 FTH587728:FTH587729 GDD587728:GDD587729 GMZ587728:GMZ587729 GWV587728:GWV587729 HGR587728:HGR587729 HQN587728:HQN587729 IAJ587728:IAJ587729 IKF587728:IKF587729 IUB587728:IUB587729 JDX587728:JDX587729 JNT587728:JNT587729 JXP587728:JXP587729 KHL587728:KHL587729 KRH587728:KRH587729 LBD587728:LBD587729 LKZ587728:LKZ587729 LUV587728:LUV587729 MER587728:MER587729 MON587728:MON587729 MYJ587728:MYJ587729 NIF587728:NIF587729 NSB587728:NSB587729 OBX587728:OBX587729 OLT587728:OLT587729 OVP587728:OVP587729 PFL587728:PFL587729 PPH587728:PPH587729 PZD587728:PZD587729 QIZ587728:QIZ587729 QSV587728:QSV587729 RCR587728:RCR587729 RMN587728:RMN587729 RWJ587728:RWJ587729 SGF587728:SGF587729 SQB587728:SQB587729 SZX587728:SZX587729 TJT587728:TJT587729 TTP587728:TTP587729 UDL587728:UDL587729 UNH587728:UNH587729 UXD587728:UXD587729 VGZ587728:VGZ587729 VQV587728:VQV587729 WAR587728:WAR587729 WKN587728:WKN587729 WUJ587728:WUJ587729 F653264:F653265 HX653264:HX653265 RT653264:RT653265 ABP653264:ABP653265 ALL653264:ALL653265 AVH653264:AVH653265 BFD653264:BFD653265 BOZ653264:BOZ653265 BYV653264:BYV653265 CIR653264:CIR653265 CSN653264:CSN653265 DCJ653264:DCJ653265 DMF653264:DMF653265 DWB653264:DWB653265 EFX653264:EFX653265 EPT653264:EPT653265 EZP653264:EZP653265 FJL653264:FJL653265 FTH653264:FTH653265 GDD653264:GDD653265 GMZ653264:GMZ653265 GWV653264:GWV653265 HGR653264:HGR653265 HQN653264:HQN653265 IAJ653264:IAJ653265 IKF653264:IKF653265 IUB653264:IUB653265 JDX653264:JDX653265 JNT653264:JNT653265 JXP653264:JXP653265 KHL653264:KHL653265 KRH653264:KRH653265 LBD653264:LBD653265 LKZ653264:LKZ653265 LUV653264:LUV653265 MER653264:MER653265 MON653264:MON653265 MYJ653264:MYJ653265 NIF653264:NIF653265 NSB653264:NSB653265 OBX653264:OBX653265 OLT653264:OLT653265 OVP653264:OVP653265 PFL653264:PFL653265 PPH653264:PPH653265 PZD653264:PZD653265 QIZ653264:QIZ653265 QSV653264:QSV653265 RCR653264:RCR653265 RMN653264:RMN653265 RWJ653264:RWJ653265 SGF653264:SGF653265 SQB653264:SQB653265 SZX653264:SZX653265 TJT653264:TJT653265 TTP653264:TTP653265 UDL653264:UDL653265 UNH653264:UNH653265 UXD653264:UXD653265 VGZ653264:VGZ653265 VQV653264:VQV653265 WAR653264:WAR653265 WKN653264:WKN653265 WUJ653264:WUJ653265 F718800:F718801 HX718800:HX718801 RT718800:RT718801 ABP718800:ABP718801 ALL718800:ALL718801 AVH718800:AVH718801 BFD718800:BFD718801 BOZ718800:BOZ718801 BYV718800:BYV718801 CIR718800:CIR718801 CSN718800:CSN718801 DCJ718800:DCJ718801 DMF718800:DMF718801 DWB718800:DWB718801 EFX718800:EFX718801 EPT718800:EPT718801 EZP718800:EZP718801 FJL718800:FJL718801 FTH718800:FTH718801 GDD718800:GDD718801 GMZ718800:GMZ718801 GWV718800:GWV718801 HGR718800:HGR718801 HQN718800:HQN718801 IAJ718800:IAJ718801 IKF718800:IKF718801 IUB718800:IUB718801 JDX718800:JDX718801 JNT718800:JNT718801 JXP718800:JXP718801 KHL718800:KHL718801 KRH718800:KRH718801 LBD718800:LBD718801 LKZ718800:LKZ718801 LUV718800:LUV718801 MER718800:MER718801 MON718800:MON718801 MYJ718800:MYJ718801 NIF718800:NIF718801 NSB718800:NSB718801 OBX718800:OBX718801 OLT718800:OLT718801 OVP718800:OVP718801 PFL718800:PFL718801 PPH718800:PPH718801 PZD718800:PZD718801 QIZ718800:QIZ718801 QSV718800:QSV718801 RCR718800:RCR718801 RMN718800:RMN718801 RWJ718800:RWJ718801 SGF718800:SGF718801 SQB718800:SQB718801 SZX718800:SZX718801 TJT718800:TJT718801 TTP718800:TTP718801 UDL718800:UDL718801 UNH718800:UNH718801 UXD718800:UXD718801 VGZ718800:VGZ718801 VQV718800:VQV718801 WAR718800:WAR718801 WKN718800:WKN718801 WUJ718800:WUJ718801 F784336:F784337 HX784336:HX784337 RT784336:RT784337 ABP784336:ABP784337 ALL784336:ALL784337 AVH784336:AVH784337 BFD784336:BFD784337 BOZ784336:BOZ784337 BYV784336:BYV784337 CIR784336:CIR784337 CSN784336:CSN784337 DCJ784336:DCJ784337 DMF784336:DMF784337 DWB784336:DWB784337 EFX784336:EFX784337 EPT784336:EPT784337 EZP784336:EZP784337 FJL784336:FJL784337 FTH784336:FTH784337 GDD784336:GDD784337 GMZ784336:GMZ784337 GWV784336:GWV784337 HGR784336:HGR784337 HQN784336:HQN784337 IAJ784336:IAJ784337 IKF784336:IKF784337 IUB784336:IUB784337 JDX784336:JDX784337 JNT784336:JNT784337 JXP784336:JXP784337 KHL784336:KHL784337 KRH784336:KRH784337 LBD784336:LBD784337 LKZ784336:LKZ784337 LUV784336:LUV784337 MER784336:MER784337 MON784336:MON784337 MYJ784336:MYJ784337 NIF784336:NIF784337 NSB784336:NSB784337 OBX784336:OBX784337 OLT784336:OLT784337 OVP784336:OVP784337 PFL784336:PFL784337 PPH784336:PPH784337 PZD784336:PZD784337 QIZ784336:QIZ784337 QSV784336:QSV784337 RCR784336:RCR784337 RMN784336:RMN784337 RWJ784336:RWJ784337 SGF784336:SGF784337 SQB784336:SQB784337 SZX784336:SZX784337 TJT784336:TJT784337 TTP784336:TTP784337 UDL784336:UDL784337 UNH784336:UNH784337 UXD784336:UXD784337 VGZ784336:VGZ784337 VQV784336:VQV784337 WAR784336:WAR784337 WKN784336:WKN784337 WUJ784336:WUJ784337 F849872:F849873 HX849872:HX849873 RT849872:RT849873 ABP849872:ABP849873 ALL849872:ALL849873 AVH849872:AVH849873 BFD849872:BFD849873 BOZ849872:BOZ849873 BYV849872:BYV849873 CIR849872:CIR849873 CSN849872:CSN849873 DCJ849872:DCJ849873 DMF849872:DMF849873 DWB849872:DWB849873 EFX849872:EFX849873 EPT849872:EPT849873 EZP849872:EZP849873 FJL849872:FJL849873 FTH849872:FTH849873 GDD849872:GDD849873 GMZ849872:GMZ849873 GWV849872:GWV849873 HGR849872:HGR849873 HQN849872:HQN849873 IAJ849872:IAJ849873 IKF849872:IKF849873 IUB849872:IUB849873 JDX849872:JDX849873 JNT849872:JNT849873 JXP849872:JXP849873 KHL849872:KHL849873 KRH849872:KRH849873 LBD849872:LBD849873 LKZ849872:LKZ849873 LUV849872:LUV849873 MER849872:MER849873 MON849872:MON849873 MYJ849872:MYJ849873 NIF849872:NIF849873 NSB849872:NSB849873 OBX849872:OBX849873 OLT849872:OLT849873 OVP849872:OVP849873 PFL849872:PFL849873 PPH849872:PPH849873 PZD849872:PZD849873 QIZ849872:QIZ849873 QSV849872:QSV849873 RCR849872:RCR849873 RMN849872:RMN849873 RWJ849872:RWJ849873 SGF849872:SGF849873 SQB849872:SQB849873 SZX849872:SZX849873 TJT849872:TJT849873 TTP849872:TTP849873 UDL849872:UDL849873 UNH849872:UNH849873 UXD849872:UXD849873 VGZ849872:VGZ849873 VQV849872:VQV849873 WAR849872:WAR849873 WKN849872:WKN849873 WUJ849872:WUJ849873 F915408:F915409 HX915408:HX915409 RT915408:RT915409 ABP915408:ABP915409 ALL915408:ALL915409 AVH915408:AVH915409 BFD915408:BFD915409 BOZ915408:BOZ915409 BYV915408:BYV915409 CIR915408:CIR915409 CSN915408:CSN915409 DCJ915408:DCJ915409 DMF915408:DMF915409 DWB915408:DWB915409 EFX915408:EFX915409 EPT915408:EPT915409 EZP915408:EZP915409 FJL915408:FJL915409 FTH915408:FTH915409 GDD915408:GDD915409 GMZ915408:GMZ915409 GWV915408:GWV915409 HGR915408:HGR915409 HQN915408:HQN915409 IAJ915408:IAJ915409 IKF915408:IKF915409 IUB915408:IUB915409 JDX915408:JDX915409 JNT915408:JNT915409 JXP915408:JXP915409 KHL915408:KHL915409 KRH915408:KRH915409 LBD915408:LBD915409 LKZ915408:LKZ915409 LUV915408:LUV915409 MER915408:MER915409 MON915408:MON915409 MYJ915408:MYJ915409 NIF915408:NIF915409 NSB915408:NSB915409 OBX915408:OBX915409 OLT915408:OLT915409 OVP915408:OVP915409 PFL915408:PFL915409 PPH915408:PPH915409 PZD915408:PZD915409 QIZ915408:QIZ915409 QSV915408:QSV915409 RCR915408:RCR915409 RMN915408:RMN915409 RWJ915408:RWJ915409 SGF915408:SGF915409 SQB915408:SQB915409 SZX915408:SZX915409 TJT915408:TJT915409 TTP915408:TTP915409 UDL915408:UDL915409 UNH915408:UNH915409 UXD915408:UXD915409 VGZ915408:VGZ915409 VQV915408:VQV915409 WAR915408:WAR915409 WKN915408:WKN915409 WUJ915408:WUJ915409 F980944:F980945 HX980944:HX980945 RT980944:RT980945 ABP980944:ABP980945 ALL980944:ALL980945 AVH980944:AVH980945 BFD980944:BFD980945 BOZ980944:BOZ980945 BYV980944:BYV980945 CIR980944:CIR980945 CSN980944:CSN980945 DCJ980944:DCJ980945 DMF980944:DMF980945 DWB980944:DWB980945 EFX980944:EFX980945 EPT980944:EPT980945 EZP980944:EZP980945 FJL980944:FJL980945 FTH980944:FTH980945 GDD980944:GDD980945 GMZ980944:GMZ980945 GWV980944:GWV980945 HGR980944:HGR980945 HQN980944:HQN980945 IAJ980944:IAJ980945 IKF980944:IKF980945 IUB980944:IUB980945 JDX980944:JDX980945 JNT980944:JNT980945 JXP980944:JXP980945 KHL980944:KHL980945 KRH980944:KRH980945 LBD980944:LBD980945 LKZ980944:LKZ980945 LUV980944:LUV980945 MER980944:MER980945 MON980944:MON980945 MYJ980944:MYJ980945 NIF980944:NIF980945 NSB980944:NSB980945 OBX980944:OBX980945 OLT980944:OLT980945 OVP980944:OVP980945 PFL980944:PFL980945 PPH980944:PPH980945 PZD980944:PZD980945 QIZ980944:QIZ980945 QSV980944:QSV980945 RCR980944:RCR980945 RMN980944:RMN980945 RWJ980944:RWJ980945 SGF980944:SGF980945 SQB980944:SQB980945 SZX980944:SZX980945 TJT980944:TJT980945 TTP980944:TTP980945 UDL980944:UDL980945 UNH980944:UNH980945 UXD980944:UXD980945 VGZ980944:VGZ980945 VQV980944:VQV980945 WAR980944:WAR980945 HX54:HX55 RT76:RT77 ABP76:ABP77 ALL76:ALL77 AVH76:AVH77 BFD76:BFD77 BOZ76:BOZ77 BYV76:BYV77 CIR76:CIR77 CSN76:CSN77 DCJ76:DCJ77 DMF76:DMF77 DWB76:DWB77 EFX76:EFX77 EPT76:EPT77 EZP76:EZP77 FJL76:FJL77 FTH76:FTH77 GDD76:GDD77 GMZ76:GMZ77 GWV76:GWV77 HGR76:HGR77 HQN76:HQN77 IAJ76:IAJ77 IKF76:IKF77 IUB76:IUB77 JDX76:JDX77 JNT76:JNT77 JXP76:JXP77 KHL76:KHL77 KRH76:KRH77 LBD76:LBD77 LKZ76:LKZ77 LUV76:LUV77 MER76:MER77 MON76:MON77 MYJ76:MYJ77 NIF76:NIF77 NSB76:NSB77 OBX76:OBX77 OLT76:OLT77 OVP76:OVP77 PFL76:PFL77 PPH76:PPH77 PZD76:PZD77 QIZ76:QIZ77 QSV76:QSV77 RCR76:RCR77 RMN76:RMN77 RWJ76:RWJ77 SGF76:SGF77 SQB76:SQB77 SZX76:SZX77 TJT76:TJT77 TTP76:TTP77 UDL76:UDL77 UNH76:UNH77 UXD76:UXD77 VGZ76:VGZ77 VQV76:VQV77 WAR76:WAR77 WKN76:WKN77 WUJ76:WUJ77 HX76:HX77 RT54:RT55 ABP54:ABP55 ALL54:ALL55 AVH54:AVH55 BFD54:BFD55 BOZ54:BOZ55 BYV54:BYV55 CIR54:CIR55 CSN54:CSN55 DCJ54:DCJ55 DMF54:DMF55 DWB54:DWB55 EFX54:EFX55 EPT54:EPT55 EZP54:EZP55 FJL54:FJL55 FTH54:FTH55 GDD54:GDD55 GMZ54:GMZ55 GWV54:GWV55 HGR54:HGR55 HQN54:HQN55 IAJ54:IAJ55 IKF54:IKF55 IUB54:IUB55 JDX54:JDX55 JNT54:JNT55 JXP54:JXP55 KHL54:KHL55 KRH54:KRH55 LBD54:LBD55 LKZ54:LKZ55 LUV54:LUV55 MER54:MER55 MON54:MON55 MYJ54:MYJ55 NIF54:NIF55 NSB54:NSB55 OBX54:OBX55 OLT54:OLT55 OVP54:OVP55 PFL54:PFL55 PPH54:PPH55 PZD54:PZD55 QIZ54:QIZ55 QSV54:QSV55 RCR54:RCR55 RMN54:RMN55 RWJ54:RWJ55 SGF54:SGF55 SQB54:SQB55 SZX54:SZX55 TJT54:TJT55 TTP54:TTP55 UDL54:UDL55 UNH54:UNH55 UXD54:UXD55 VGZ54:VGZ55 VQV54:VQV55 WAR54:WAR55 WKN54:WKN55 WUJ54:WUJ55 HX19:HX20 WUJ19:WUJ20 WKN19:WKN20 WAR19:WAR20 VQV19:VQV20 VGZ19:VGZ20 UXD19:UXD20 UNH19:UNH20 UDL19:UDL20 TTP19:TTP20 TJT19:TJT20 SZX19:SZX20 SQB19:SQB20 SGF19:SGF20 RWJ19:RWJ20 RMN19:RMN20 RCR19:RCR20 QSV19:QSV20 QIZ19:QIZ20 PZD19:PZD20 PPH19:PPH20 PFL19:PFL20 OVP19:OVP20 OLT19:OLT20 OBX19:OBX20 NSB19:NSB20 NIF19:NIF20 MYJ19:MYJ20 MON19:MON20 MER19:MER20 LUV19:LUV20 LKZ19:LKZ20 LBD19:LBD20 KRH19:KRH20 KHL19:KHL20 JXP19:JXP20 JNT19:JNT20 JDX19:JDX20 IUB19:IUB20 IKF19:IKF20 IAJ19:IAJ20 HQN19:HQN20 HGR19:HGR20 GWV19:GWV20 GMZ19:GMZ20 GDD19:GDD20 FTH19:FTH20 FJL19:FJL20 EZP19:EZP20 EPT19:EPT20 EFX19:EFX20 DWB19:DWB20 DMF19:DMF20 DCJ19:DCJ20 CSN19:CSN20 CIR19:CIR20 BYV19:BYV20 BOZ19:BOZ20 BFD19:BFD20 AVH19:AVH20 ALL19:ALL20 ABP19:ABP20 RT19:RT20 ABP22:ABP26 ALL22:ALL26 AVH22:AVH26 BFD22:BFD26 BOZ22:BOZ26 BYV22:BYV26 CIR22:CIR26 CSN22:CSN26 DCJ22:DCJ26 DMF22:DMF26 DWB22:DWB26 EFX22:EFX26 EPT22:EPT26 EZP22:EZP26 FJL22:FJL26 FTH22:FTH26 GDD22:GDD26 GMZ22:GMZ26 GWV22:GWV26 HGR22:HGR26 HQN22:HQN26 IAJ22:IAJ26 IKF22:IKF26 IUB22:IUB26 JDX22:JDX26 JNT22:JNT26 JXP22:JXP26 KHL22:KHL26 KRH22:KRH26 LBD22:LBD26 LKZ22:LKZ26 LUV22:LUV26 MER22:MER26 MON22:MON26 MYJ22:MYJ26 NIF22:NIF26 NSB22:NSB26 OBX22:OBX26 OLT22:OLT26 OVP22:OVP26 PFL22:PFL26 PPH22:PPH26 PZD22:PZD26 QIZ22:QIZ26 QSV22:QSV26 RCR22:RCR26 RMN22:RMN26 RWJ22:RWJ26 SGF22:SGF26 SQB22:SQB26 SZX22:SZX26 TJT22:TJT26 TTP22:TTP26 UDL22:UDL26 UNH22:UNH26 UXD22:UXD26 VGZ22:VGZ26 VQV22:VQV26 WAR22:WAR26 WKN22:WKN26 WUJ22:WUJ26 HX22:HX26 RT22:RT26" xr:uid="{00000000-0002-0000-0500-000004000000}">
      <formula1>"○,×"</formula1>
    </dataValidation>
    <dataValidation type="list" allowBlank="1" showInputMessage="1" showErrorMessage="1" sqref="WUJ980942:WUJ980943 HX17:HX18 RT17:RT18 ABP17:ABP18 ALL17:ALL18 AVH17:AVH18 BFD17:BFD18 BOZ17:BOZ18 BYV17:BYV18 CIR17:CIR18 CSN17:CSN18 DCJ17:DCJ18 DMF17:DMF18 DWB17:DWB18 EFX17:EFX18 EPT17:EPT18 EZP17:EZP18 FJL17:FJL18 FTH17:FTH18 GDD17:GDD18 GMZ17:GMZ18 GWV17:GWV18 HGR17:HGR18 HQN17:HQN18 IAJ17:IAJ18 IKF17:IKF18 IUB17:IUB18 JDX17:JDX18 JNT17:JNT18 JXP17:JXP18 KHL17:KHL18 KRH17:KRH18 LBD17:LBD18 LKZ17:LKZ18 LUV17:LUV18 MER17:MER18 MON17:MON18 MYJ17:MYJ18 NIF17:NIF18 NSB17:NSB18 OBX17:OBX18 OLT17:OLT18 OVP17:OVP18 PFL17:PFL18 PPH17:PPH18 PZD17:PZD18 QIZ17:QIZ18 QSV17:QSV18 RCR17:RCR18 RMN17:RMN18 RWJ17:RWJ18 SGF17:SGF18 SQB17:SQB18 SZX17:SZX18 TJT17:TJT18 TTP17:TTP18 UDL17:UDL18 UNH17:UNH18 UXD17:UXD18 VGZ17:VGZ18 VQV17:VQV18 WAR17:WAR18 WKN17:WKN18 WUJ17:WUJ18 F63438:F63439 HX63438:HX63439 RT63438:RT63439 ABP63438:ABP63439 ALL63438:ALL63439 AVH63438:AVH63439 BFD63438:BFD63439 BOZ63438:BOZ63439 BYV63438:BYV63439 CIR63438:CIR63439 CSN63438:CSN63439 DCJ63438:DCJ63439 DMF63438:DMF63439 DWB63438:DWB63439 EFX63438:EFX63439 EPT63438:EPT63439 EZP63438:EZP63439 FJL63438:FJL63439 FTH63438:FTH63439 GDD63438:GDD63439 GMZ63438:GMZ63439 GWV63438:GWV63439 HGR63438:HGR63439 HQN63438:HQN63439 IAJ63438:IAJ63439 IKF63438:IKF63439 IUB63438:IUB63439 JDX63438:JDX63439 JNT63438:JNT63439 JXP63438:JXP63439 KHL63438:KHL63439 KRH63438:KRH63439 LBD63438:LBD63439 LKZ63438:LKZ63439 LUV63438:LUV63439 MER63438:MER63439 MON63438:MON63439 MYJ63438:MYJ63439 NIF63438:NIF63439 NSB63438:NSB63439 OBX63438:OBX63439 OLT63438:OLT63439 OVP63438:OVP63439 PFL63438:PFL63439 PPH63438:PPH63439 PZD63438:PZD63439 QIZ63438:QIZ63439 QSV63438:QSV63439 RCR63438:RCR63439 RMN63438:RMN63439 RWJ63438:RWJ63439 SGF63438:SGF63439 SQB63438:SQB63439 SZX63438:SZX63439 TJT63438:TJT63439 TTP63438:TTP63439 UDL63438:UDL63439 UNH63438:UNH63439 UXD63438:UXD63439 VGZ63438:VGZ63439 VQV63438:VQV63439 WAR63438:WAR63439 WKN63438:WKN63439 WUJ63438:WUJ63439 F128974:F128975 HX128974:HX128975 RT128974:RT128975 ABP128974:ABP128975 ALL128974:ALL128975 AVH128974:AVH128975 BFD128974:BFD128975 BOZ128974:BOZ128975 BYV128974:BYV128975 CIR128974:CIR128975 CSN128974:CSN128975 DCJ128974:DCJ128975 DMF128974:DMF128975 DWB128974:DWB128975 EFX128974:EFX128975 EPT128974:EPT128975 EZP128974:EZP128975 FJL128974:FJL128975 FTH128974:FTH128975 GDD128974:GDD128975 GMZ128974:GMZ128975 GWV128974:GWV128975 HGR128974:HGR128975 HQN128974:HQN128975 IAJ128974:IAJ128975 IKF128974:IKF128975 IUB128974:IUB128975 JDX128974:JDX128975 JNT128974:JNT128975 JXP128974:JXP128975 KHL128974:KHL128975 KRH128974:KRH128975 LBD128974:LBD128975 LKZ128974:LKZ128975 LUV128974:LUV128975 MER128974:MER128975 MON128974:MON128975 MYJ128974:MYJ128975 NIF128974:NIF128975 NSB128974:NSB128975 OBX128974:OBX128975 OLT128974:OLT128975 OVP128974:OVP128975 PFL128974:PFL128975 PPH128974:PPH128975 PZD128974:PZD128975 QIZ128974:QIZ128975 QSV128974:QSV128975 RCR128974:RCR128975 RMN128974:RMN128975 RWJ128974:RWJ128975 SGF128974:SGF128975 SQB128974:SQB128975 SZX128974:SZX128975 TJT128974:TJT128975 TTP128974:TTP128975 UDL128974:UDL128975 UNH128974:UNH128975 UXD128974:UXD128975 VGZ128974:VGZ128975 VQV128974:VQV128975 WAR128974:WAR128975 WKN128974:WKN128975 WUJ128974:WUJ128975 F194510:F194511 HX194510:HX194511 RT194510:RT194511 ABP194510:ABP194511 ALL194510:ALL194511 AVH194510:AVH194511 BFD194510:BFD194511 BOZ194510:BOZ194511 BYV194510:BYV194511 CIR194510:CIR194511 CSN194510:CSN194511 DCJ194510:DCJ194511 DMF194510:DMF194511 DWB194510:DWB194511 EFX194510:EFX194511 EPT194510:EPT194511 EZP194510:EZP194511 FJL194510:FJL194511 FTH194510:FTH194511 GDD194510:GDD194511 GMZ194510:GMZ194511 GWV194510:GWV194511 HGR194510:HGR194511 HQN194510:HQN194511 IAJ194510:IAJ194511 IKF194510:IKF194511 IUB194510:IUB194511 JDX194510:JDX194511 JNT194510:JNT194511 JXP194510:JXP194511 KHL194510:KHL194511 KRH194510:KRH194511 LBD194510:LBD194511 LKZ194510:LKZ194511 LUV194510:LUV194511 MER194510:MER194511 MON194510:MON194511 MYJ194510:MYJ194511 NIF194510:NIF194511 NSB194510:NSB194511 OBX194510:OBX194511 OLT194510:OLT194511 OVP194510:OVP194511 PFL194510:PFL194511 PPH194510:PPH194511 PZD194510:PZD194511 QIZ194510:QIZ194511 QSV194510:QSV194511 RCR194510:RCR194511 RMN194510:RMN194511 RWJ194510:RWJ194511 SGF194510:SGF194511 SQB194510:SQB194511 SZX194510:SZX194511 TJT194510:TJT194511 TTP194510:TTP194511 UDL194510:UDL194511 UNH194510:UNH194511 UXD194510:UXD194511 VGZ194510:VGZ194511 VQV194510:VQV194511 WAR194510:WAR194511 WKN194510:WKN194511 WUJ194510:WUJ194511 F260046:F260047 HX260046:HX260047 RT260046:RT260047 ABP260046:ABP260047 ALL260046:ALL260047 AVH260046:AVH260047 BFD260046:BFD260047 BOZ260046:BOZ260047 BYV260046:BYV260047 CIR260046:CIR260047 CSN260046:CSN260047 DCJ260046:DCJ260047 DMF260046:DMF260047 DWB260046:DWB260047 EFX260046:EFX260047 EPT260046:EPT260047 EZP260046:EZP260047 FJL260046:FJL260047 FTH260046:FTH260047 GDD260046:GDD260047 GMZ260046:GMZ260047 GWV260046:GWV260047 HGR260046:HGR260047 HQN260046:HQN260047 IAJ260046:IAJ260047 IKF260046:IKF260047 IUB260046:IUB260047 JDX260046:JDX260047 JNT260046:JNT260047 JXP260046:JXP260047 KHL260046:KHL260047 KRH260046:KRH260047 LBD260046:LBD260047 LKZ260046:LKZ260047 LUV260046:LUV260047 MER260046:MER260047 MON260046:MON260047 MYJ260046:MYJ260047 NIF260046:NIF260047 NSB260046:NSB260047 OBX260046:OBX260047 OLT260046:OLT260047 OVP260046:OVP260047 PFL260046:PFL260047 PPH260046:PPH260047 PZD260046:PZD260047 QIZ260046:QIZ260047 QSV260046:QSV260047 RCR260046:RCR260047 RMN260046:RMN260047 RWJ260046:RWJ260047 SGF260046:SGF260047 SQB260046:SQB260047 SZX260046:SZX260047 TJT260046:TJT260047 TTP260046:TTP260047 UDL260046:UDL260047 UNH260046:UNH260047 UXD260046:UXD260047 VGZ260046:VGZ260047 VQV260046:VQV260047 WAR260046:WAR260047 WKN260046:WKN260047 WUJ260046:WUJ260047 F325582:F325583 HX325582:HX325583 RT325582:RT325583 ABP325582:ABP325583 ALL325582:ALL325583 AVH325582:AVH325583 BFD325582:BFD325583 BOZ325582:BOZ325583 BYV325582:BYV325583 CIR325582:CIR325583 CSN325582:CSN325583 DCJ325582:DCJ325583 DMF325582:DMF325583 DWB325582:DWB325583 EFX325582:EFX325583 EPT325582:EPT325583 EZP325582:EZP325583 FJL325582:FJL325583 FTH325582:FTH325583 GDD325582:GDD325583 GMZ325582:GMZ325583 GWV325582:GWV325583 HGR325582:HGR325583 HQN325582:HQN325583 IAJ325582:IAJ325583 IKF325582:IKF325583 IUB325582:IUB325583 JDX325582:JDX325583 JNT325582:JNT325583 JXP325582:JXP325583 KHL325582:KHL325583 KRH325582:KRH325583 LBD325582:LBD325583 LKZ325582:LKZ325583 LUV325582:LUV325583 MER325582:MER325583 MON325582:MON325583 MYJ325582:MYJ325583 NIF325582:NIF325583 NSB325582:NSB325583 OBX325582:OBX325583 OLT325582:OLT325583 OVP325582:OVP325583 PFL325582:PFL325583 PPH325582:PPH325583 PZD325582:PZD325583 QIZ325582:QIZ325583 QSV325582:QSV325583 RCR325582:RCR325583 RMN325582:RMN325583 RWJ325582:RWJ325583 SGF325582:SGF325583 SQB325582:SQB325583 SZX325582:SZX325583 TJT325582:TJT325583 TTP325582:TTP325583 UDL325582:UDL325583 UNH325582:UNH325583 UXD325582:UXD325583 VGZ325582:VGZ325583 VQV325582:VQV325583 WAR325582:WAR325583 WKN325582:WKN325583 WUJ325582:WUJ325583 F391118:F391119 HX391118:HX391119 RT391118:RT391119 ABP391118:ABP391119 ALL391118:ALL391119 AVH391118:AVH391119 BFD391118:BFD391119 BOZ391118:BOZ391119 BYV391118:BYV391119 CIR391118:CIR391119 CSN391118:CSN391119 DCJ391118:DCJ391119 DMF391118:DMF391119 DWB391118:DWB391119 EFX391118:EFX391119 EPT391118:EPT391119 EZP391118:EZP391119 FJL391118:FJL391119 FTH391118:FTH391119 GDD391118:GDD391119 GMZ391118:GMZ391119 GWV391118:GWV391119 HGR391118:HGR391119 HQN391118:HQN391119 IAJ391118:IAJ391119 IKF391118:IKF391119 IUB391118:IUB391119 JDX391118:JDX391119 JNT391118:JNT391119 JXP391118:JXP391119 KHL391118:KHL391119 KRH391118:KRH391119 LBD391118:LBD391119 LKZ391118:LKZ391119 LUV391118:LUV391119 MER391118:MER391119 MON391118:MON391119 MYJ391118:MYJ391119 NIF391118:NIF391119 NSB391118:NSB391119 OBX391118:OBX391119 OLT391118:OLT391119 OVP391118:OVP391119 PFL391118:PFL391119 PPH391118:PPH391119 PZD391118:PZD391119 QIZ391118:QIZ391119 QSV391118:QSV391119 RCR391118:RCR391119 RMN391118:RMN391119 RWJ391118:RWJ391119 SGF391118:SGF391119 SQB391118:SQB391119 SZX391118:SZX391119 TJT391118:TJT391119 TTP391118:TTP391119 UDL391118:UDL391119 UNH391118:UNH391119 UXD391118:UXD391119 VGZ391118:VGZ391119 VQV391118:VQV391119 WAR391118:WAR391119 WKN391118:WKN391119 WUJ391118:WUJ391119 F456654:F456655 HX456654:HX456655 RT456654:RT456655 ABP456654:ABP456655 ALL456654:ALL456655 AVH456654:AVH456655 BFD456654:BFD456655 BOZ456654:BOZ456655 BYV456654:BYV456655 CIR456654:CIR456655 CSN456654:CSN456655 DCJ456654:DCJ456655 DMF456654:DMF456655 DWB456654:DWB456655 EFX456654:EFX456655 EPT456654:EPT456655 EZP456654:EZP456655 FJL456654:FJL456655 FTH456654:FTH456655 GDD456654:GDD456655 GMZ456654:GMZ456655 GWV456654:GWV456655 HGR456654:HGR456655 HQN456654:HQN456655 IAJ456654:IAJ456655 IKF456654:IKF456655 IUB456654:IUB456655 JDX456654:JDX456655 JNT456654:JNT456655 JXP456654:JXP456655 KHL456654:KHL456655 KRH456654:KRH456655 LBD456654:LBD456655 LKZ456654:LKZ456655 LUV456654:LUV456655 MER456654:MER456655 MON456654:MON456655 MYJ456654:MYJ456655 NIF456654:NIF456655 NSB456654:NSB456655 OBX456654:OBX456655 OLT456654:OLT456655 OVP456654:OVP456655 PFL456654:PFL456655 PPH456654:PPH456655 PZD456654:PZD456655 QIZ456654:QIZ456655 QSV456654:QSV456655 RCR456654:RCR456655 RMN456654:RMN456655 RWJ456654:RWJ456655 SGF456654:SGF456655 SQB456654:SQB456655 SZX456654:SZX456655 TJT456654:TJT456655 TTP456654:TTP456655 UDL456654:UDL456655 UNH456654:UNH456655 UXD456654:UXD456655 VGZ456654:VGZ456655 VQV456654:VQV456655 WAR456654:WAR456655 WKN456654:WKN456655 WUJ456654:WUJ456655 F522190:F522191 HX522190:HX522191 RT522190:RT522191 ABP522190:ABP522191 ALL522190:ALL522191 AVH522190:AVH522191 BFD522190:BFD522191 BOZ522190:BOZ522191 BYV522190:BYV522191 CIR522190:CIR522191 CSN522190:CSN522191 DCJ522190:DCJ522191 DMF522190:DMF522191 DWB522190:DWB522191 EFX522190:EFX522191 EPT522190:EPT522191 EZP522190:EZP522191 FJL522190:FJL522191 FTH522190:FTH522191 GDD522190:GDD522191 GMZ522190:GMZ522191 GWV522190:GWV522191 HGR522190:HGR522191 HQN522190:HQN522191 IAJ522190:IAJ522191 IKF522190:IKF522191 IUB522190:IUB522191 JDX522190:JDX522191 JNT522190:JNT522191 JXP522190:JXP522191 KHL522190:KHL522191 KRH522190:KRH522191 LBD522190:LBD522191 LKZ522190:LKZ522191 LUV522190:LUV522191 MER522190:MER522191 MON522190:MON522191 MYJ522190:MYJ522191 NIF522190:NIF522191 NSB522190:NSB522191 OBX522190:OBX522191 OLT522190:OLT522191 OVP522190:OVP522191 PFL522190:PFL522191 PPH522190:PPH522191 PZD522190:PZD522191 QIZ522190:QIZ522191 QSV522190:QSV522191 RCR522190:RCR522191 RMN522190:RMN522191 RWJ522190:RWJ522191 SGF522190:SGF522191 SQB522190:SQB522191 SZX522190:SZX522191 TJT522190:TJT522191 TTP522190:TTP522191 UDL522190:UDL522191 UNH522190:UNH522191 UXD522190:UXD522191 VGZ522190:VGZ522191 VQV522190:VQV522191 WAR522190:WAR522191 WKN522190:WKN522191 WUJ522190:WUJ522191 F587726:F587727 HX587726:HX587727 RT587726:RT587727 ABP587726:ABP587727 ALL587726:ALL587727 AVH587726:AVH587727 BFD587726:BFD587727 BOZ587726:BOZ587727 BYV587726:BYV587727 CIR587726:CIR587727 CSN587726:CSN587727 DCJ587726:DCJ587727 DMF587726:DMF587727 DWB587726:DWB587727 EFX587726:EFX587727 EPT587726:EPT587727 EZP587726:EZP587727 FJL587726:FJL587727 FTH587726:FTH587727 GDD587726:GDD587727 GMZ587726:GMZ587727 GWV587726:GWV587727 HGR587726:HGR587727 HQN587726:HQN587727 IAJ587726:IAJ587727 IKF587726:IKF587727 IUB587726:IUB587727 JDX587726:JDX587727 JNT587726:JNT587727 JXP587726:JXP587727 KHL587726:KHL587727 KRH587726:KRH587727 LBD587726:LBD587727 LKZ587726:LKZ587727 LUV587726:LUV587727 MER587726:MER587727 MON587726:MON587727 MYJ587726:MYJ587727 NIF587726:NIF587727 NSB587726:NSB587727 OBX587726:OBX587727 OLT587726:OLT587727 OVP587726:OVP587727 PFL587726:PFL587727 PPH587726:PPH587727 PZD587726:PZD587727 QIZ587726:QIZ587727 QSV587726:QSV587727 RCR587726:RCR587727 RMN587726:RMN587727 RWJ587726:RWJ587727 SGF587726:SGF587727 SQB587726:SQB587727 SZX587726:SZX587727 TJT587726:TJT587727 TTP587726:TTP587727 UDL587726:UDL587727 UNH587726:UNH587727 UXD587726:UXD587727 VGZ587726:VGZ587727 VQV587726:VQV587727 WAR587726:WAR587727 WKN587726:WKN587727 WUJ587726:WUJ587727 F653262:F653263 HX653262:HX653263 RT653262:RT653263 ABP653262:ABP653263 ALL653262:ALL653263 AVH653262:AVH653263 BFD653262:BFD653263 BOZ653262:BOZ653263 BYV653262:BYV653263 CIR653262:CIR653263 CSN653262:CSN653263 DCJ653262:DCJ653263 DMF653262:DMF653263 DWB653262:DWB653263 EFX653262:EFX653263 EPT653262:EPT653263 EZP653262:EZP653263 FJL653262:FJL653263 FTH653262:FTH653263 GDD653262:GDD653263 GMZ653262:GMZ653263 GWV653262:GWV653263 HGR653262:HGR653263 HQN653262:HQN653263 IAJ653262:IAJ653263 IKF653262:IKF653263 IUB653262:IUB653263 JDX653262:JDX653263 JNT653262:JNT653263 JXP653262:JXP653263 KHL653262:KHL653263 KRH653262:KRH653263 LBD653262:LBD653263 LKZ653262:LKZ653263 LUV653262:LUV653263 MER653262:MER653263 MON653262:MON653263 MYJ653262:MYJ653263 NIF653262:NIF653263 NSB653262:NSB653263 OBX653262:OBX653263 OLT653262:OLT653263 OVP653262:OVP653263 PFL653262:PFL653263 PPH653262:PPH653263 PZD653262:PZD653263 QIZ653262:QIZ653263 QSV653262:QSV653263 RCR653262:RCR653263 RMN653262:RMN653263 RWJ653262:RWJ653263 SGF653262:SGF653263 SQB653262:SQB653263 SZX653262:SZX653263 TJT653262:TJT653263 TTP653262:TTP653263 UDL653262:UDL653263 UNH653262:UNH653263 UXD653262:UXD653263 VGZ653262:VGZ653263 VQV653262:VQV653263 WAR653262:WAR653263 WKN653262:WKN653263 WUJ653262:WUJ653263 F718798:F718799 HX718798:HX718799 RT718798:RT718799 ABP718798:ABP718799 ALL718798:ALL718799 AVH718798:AVH718799 BFD718798:BFD718799 BOZ718798:BOZ718799 BYV718798:BYV718799 CIR718798:CIR718799 CSN718798:CSN718799 DCJ718798:DCJ718799 DMF718798:DMF718799 DWB718798:DWB718799 EFX718798:EFX718799 EPT718798:EPT718799 EZP718798:EZP718799 FJL718798:FJL718799 FTH718798:FTH718799 GDD718798:GDD718799 GMZ718798:GMZ718799 GWV718798:GWV718799 HGR718798:HGR718799 HQN718798:HQN718799 IAJ718798:IAJ718799 IKF718798:IKF718799 IUB718798:IUB718799 JDX718798:JDX718799 JNT718798:JNT718799 JXP718798:JXP718799 KHL718798:KHL718799 KRH718798:KRH718799 LBD718798:LBD718799 LKZ718798:LKZ718799 LUV718798:LUV718799 MER718798:MER718799 MON718798:MON718799 MYJ718798:MYJ718799 NIF718798:NIF718799 NSB718798:NSB718799 OBX718798:OBX718799 OLT718798:OLT718799 OVP718798:OVP718799 PFL718798:PFL718799 PPH718798:PPH718799 PZD718798:PZD718799 QIZ718798:QIZ718799 QSV718798:QSV718799 RCR718798:RCR718799 RMN718798:RMN718799 RWJ718798:RWJ718799 SGF718798:SGF718799 SQB718798:SQB718799 SZX718798:SZX718799 TJT718798:TJT718799 TTP718798:TTP718799 UDL718798:UDL718799 UNH718798:UNH718799 UXD718798:UXD718799 VGZ718798:VGZ718799 VQV718798:VQV718799 WAR718798:WAR718799 WKN718798:WKN718799 WUJ718798:WUJ718799 F784334:F784335 HX784334:HX784335 RT784334:RT784335 ABP784334:ABP784335 ALL784334:ALL784335 AVH784334:AVH784335 BFD784334:BFD784335 BOZ784334:BOZ784335 BYV784334:BYV784335 CIR784334:CIR784335 CSN784334:CSN784335 DCJ784334:DCJ784335 DMF784334:DMF784335 DWB784334:DWB784335 EFX784334:EFX784335 EPT784334:EPT784335 EZP784334:EZP784335 FJL784334:FJL784335 FTH784334:FTH784335 GDD784334:GDD784335 GMZ784334:GMZ784335 GWV784334:GWV784335 HGR784334:HGR784335 HQN784334:HQN784335 IAJ784334:IAJ784335 IKF784334:IKF784335 IUB784334:IUB784335 JDX784334:JDX784335 JNT784334:JNT784335 JXP784334:JXP784335 KHL784334:KHL784335 KRH784334:KRH784335 LBD784334:LBD784335 LKZ784334:LKZ784335 LUV784334:LUV784335 MER784334:MER784335 MON784334:MON784335 MYJ784334:MYJ784335 NIF784334:NIF784335 NSB784334:NSB784335 OBX784334:OBX784335 OLT784334:OLT784335 OVP784334:OVP784335 PFL784334:PFL784335 PPH784334:PPH784335 PZD784334:PZD784335 QIZ784334:QIZ784335 QSV784334:QSV784335 RCR784334:RCR784335 RMN784334:RMN784335 RWJ784334:RWJ784335 SGF784334:SGF784335 SQB784334:SQB784335 SZX784334:SZX784335 TJT784334:TJT784335 TTP784334:TTP784335 UDL784334:UDL784335 UNH784334:UNH784335 UXD784334:UXD784335 VGZ784334:VGZ784335 VQV784334:VQV784335 WAR784334:WAR784335 WKN784334:WKN784335 WUJ784334:WUJ784335 F849870:F849871 HX849870:HX849871 RT849870:RT849871 ABP849870:ABP849871 ALL849870:ALL849871 AVH849870:AVH849871 BFD849870:BFD849871 BOZ849870:BOZ849871 BYV849870:BYV849871 CIR849870:CIR849871 CSN849870:CSN849871 DCJ849870:DCJ849871 DMF849870:DMF849871 DWB849870:DWB849871 EFX849870:EFX849871 EPT849870:EPT849871 EZP849870:EZP849871 FJL849870:FJL849871 FTH849870:FTH849871 GDD849870:GDD849871 GMZ849870:GMZ849871 GWV849870:GWV849871 HGR849870:HGR849871 HQN849870:HQN849871 IAJ849870:IAJ849871 IKF849870:IKF849871 IUB849870:IUB849871 JDX849870:JDX849871 JNT849870:JNT849871 JXP849870:JXP849871 KHL849870:KHL849871 KRH849870:KRH849871 LBD849870:LBD849871 LKZ849870:LKZ849871 LUV849870:LUV849871 MER849870:MER849871 MON849870:MON849871 MYJ849870:MYJ849871 NIF849870:NIF849871 NSB849870:NSB849871 OBX849870:OBX849871 OLT849870:OLT849871 OVP849870:OVP849871 PFL849870:PFL849871 PPH849870:PPH849871 PZD849870:PZD849871 QIZ849870:QIZ849871 QSV849870:QSV849871 RCR849870:RCR849871 RMN849870:RMN849871 RWJ849870:RWJ849871 SGF849870:SGF849871 SQB849870:SQB849871 SZX849870:SZX849871 TJT849870:TJT849871 TTP849870:TTP849871 UDL849870:UDL849871 UNH849870:UNH849871 UXD849870:UXD849871 VGZ849870:VGZ849871 VQV849870:VQV849871 WAR849870:WAR849871 WKN849870:WKN849871 WUJ849870:WUJ849871 F915406:F915407 HX915406:HX915407 RT915406:RT915407 ABP915406:ABP915407 ALL915406:ALL915407 AVH915406:AVH915407 BFD915406:BFD915407 BOZ915406:BOZ915407 BYV915406:BYV915407 CIR915406:CIR915407 CSN915406:CSN915407 DCJ915406:DCJ915407 DMF915406:DMF915407 DWB915406:DWB915407 EFX915406:EFX915407 EPT915406:EPT915407 EZP915406:EZP915407 FJL915406:FJL915407 FTH915406:FTH915407 GDD915406:GDD915407 GMZ915406:GMZ915407 GWV915406:GWV915407 HGR915406:HGR915407 HQN915406:HQN915407 IAJ915406:IAJ915407 IKF915406:IKF915407 IUB915406:IUB915407 JDX915406:JDX915407 JNT915406:JNT915407 JXP915406:JXP915407 KHL915406:KHL915407 KRH915406:KRH915407 LBD915406:LBD915407 LKZ915406:LKZ915407 LUV915406:LUV915407 MER915406:MER915407 MON915406:MON915407 MYJ915406:MYJ915407 NIF915406:NIF915407 NSB915406:NSB915407 OBX915406:OBX915407 OLT915406:OLT915407 OVP915406:OVP915407 PFL915406:PFL915407 PPH915406:PPH915407 PZD915406:PZD915407 QIZ915406:QIZ915407 QSV915406:QSV915407 RCR915406:RCR915407 RMN915406:RMN915407 RWJ915406:RWJ915407 SGF915406:SGF915407 SQB915406:SQB915407 SZX915406:SZX915407 TJT915406:TJT915407 TTP915406:TTP915407 UDL915406:UDL915407 UNH915406:UNH915407 UXD915406:UXD915407 VGZ915406:VGZ915407 VQV915406:VQV915407 WAR915406:WAR915407 WKN915406:WKN915407 WUJ915406:WUJ915407 F980942:F980943 HX980942:HX980943 RT980942:RT980943 ABP980942:ABP980943 ALL980942:ALL980943 AVH980942:AVH980943 BFD980942:BFD980943 BOZ980942:BOZ980943 BYV980942:BYV980943 CIR980942:CIR980943 CSN980942:CSN980943 DCJ980942:DCJ980943 DMF980942:DMF980943 DWB980942:DWB980943 EFX980942:EFX980943 EPT980942:EPT980943 EZP980942:EZP980943 FJL980942:FJL980943 FTH980942:FTH980943 GDD980942:GDD980943 GMZ980942:GMZ980943 GWV980942:GWV980943 HGR980942:HGR980943 HQN980942:HQN980943 IAJ980942:IAJ980943 IKF980942:IKF980943 IUB980942:IUB980943 JDX980942:JDX980943 JNT980942:JNT980943 JXP980942:JXP980943 KHL980942:KHL980943 KRH980942:KRH980943 LBD980942:LBD980943 LKZ980942:LKZ980943 LUV980942:LUV980943 MER980942:MER980943 MON980942:MON980943 MYJ980942:MYJ980943 NIF980942:NIF980943 NSB980942:NSB980943 OBX980942:OBX980943 OLT980942:OLT980943 OVP980942:OVP980943 PFL980942:PFL980943 PPH980942:PPH980943 PZD980942:PZD980943 QIZ980942:QIZ980943 QSV980942:QSV980943 RCR980942:RCR980943 RMN980942:RMN980943 RWJ980942:RWJ980943 SGF980942:SGF980943 SQB980942:SQB980943 SZX980942:SZX980943 TJT980942:TJT980943 TTP980942:TTP980943 UDL980942:UDL980943 UNH980942:UNH980943 UXD980942:UXD980943 VGZ980942:VGZ980943 VQV980942:VQV980943 WAR980942:WAR980943 WKN980942:WKN980943" xr:uid="{00000000-0002-0000-0500-000005000000}">
      <formula1>"有り,無し"</formula1>
    </dataValidation>
    <dataValidation type="list" allowBlank="1" showInputMessage="1" showErrorMessage="1" sqref="H60" xr:uid="{00000000-0002-0000-0500-000006000000}">
      <formula1>#REF!</formula1>
    </dataValidation>
    <dataValidation type="list" allowBlank="1" showInputMessage="1" showErrorMessage="1" sqref="H26" xr:uid="{00000000-0002-0000-0500-000007000000}">
      <formula1>"007停車場建物,008変電所建物,009車庫、工場建物,010倉庫建物,011詰所建物,012事務所建物,013社宅及び寮建物,雑建物"</formula1>
    </dataValidation>
  </dataValidations>
  <printOptions horizontalCentered="1"/>
  <pageMargins left="0.19685039370078741" right="0.19685039370078741" top="0.6692913385826772" bottom="0.19685039370078741" header="0.51181102362204722" footer="0.51181102362204722"/>
  <pageSetup paperSize="9" scale="61" fitToHeight="0" orientation="portrait" cellComments="asDisplayed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2:AI99"/>
  <sheetViews>
    <sheetView zoomScale="75" zoomScaleNormal="75" workbookViewId="0">
      <selection activeCell="C5" sqref="C5"/>
    </sheetView>
  </sheetViews>
  <sheetFormatPr baseColWidth="10" defaultColWidth="6.6640625" defaultRowHeight="26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1640625" style="39" customWidth="1"/>
    <col min="17" max="33" width="5.1640625" style="1" customWidth="1"/>
    <col min="34" max="34" width="4.5" style="1" customWidth="1"/>
    <col min="35" max="16384" width="6.6640625" style="1"/>
  </cols>
  <sheetData>
    <row r="2" spans="1:34" ht="26" customHeight="1">
      <c r="C2" s="37" t="s">
        <v>3046</v>
      </c>
      <c r="E2" s="36" t="s">
        <v>50</v>
      </c>
      <c r="F2" s="82">
        <f>VLOOKUP("EOL",資産管理明細書!$M$4:$N$65513,2,FALSE)</f>
        <v>3</v>
      </c>
      <c r="G2" s="1" t="s">
        <v>192</v>
      </c>
      <c r="H2" s="4">
        <f>表紙!H25</f>
        <v>11</v>
      </c>
      <c r="I2" s="4" t="s">
        <v>56</v>
      </c>
      <c r="J2" s="39">
        <f>VLOOKUP("EOL",$M$25:$N$65513,2,FALSE)</f>
        <v>7</v>
      </c>
    </row>
    <row r="3" spans="1:34" ht="26" customHeight="1" thickBot="1">
      <c r="C3" s="2741" t="s">
        <v>318</v>
      </c>
      <c r="D3" s="2741"/>
      <c r="E3" s="2741"/>
      <c r="F3" s="2741"/>
      <c r="G3" s="2741"/>
      <c r="H3" s="2741"/>
      <c r="I3" s="2741"/>
      <c r="J3" s="2741"/>
      <c r="K3" s="2741"/>
      <c r="L3" s="2741"/>
      <c r="O3" s="2735" t="s">
        <v>132</v>
      </c>
      <c r="P3" s="2736"/>
      <c r="Q3" s="2736"/>
      <c r="R3" s="2736"/>
      <c r="S3" s="2736"/>
      <c r="T3" s="2736"/>
      <c r="U3" s="2736"/>
      <c r="V3" s="2736"/>
      <c r="W3" s="2736"/>
      <c r="X3" s="2736"/>
      <c r="Y3" s="2736"/>
      <c r="Z3" s="2736"/>
      <c r="AA3" s="2736"/>
      <c r="AB3" s="2736"/>
      <c r="AC3" s="2736"/>
      <c r="AD3" s="2736"/>
      <c r="AE3" s="2736"/>
      <c r="AF3" s="2736"/>
      <c r="AG3" s="2736"/>
      <c r="AH3" s="2737"/>
    </row>
    <row r="4" spans="1:34" ht="42" customHeight="1">
      <c r="A4" s="5" t="s">
        <v>10</v>
      </c>
      <c r="B4" s="5" t="s">
        <v>9</v>
      </c>
      <c r="C4" s="832" t="s">
        <v>0</v>
      </c>
      <c r="D4" s="830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742" t="s">
        <v>6</v>
      </c>
      <c r="K4" s="2743"/>
      <c r="L4" s="2744"/>
      <c r="O4" s="154" t="s">
        <v>67</v>
      </c>
      <c r="P4" s="386" t="s">
        <v>303</v>
      </c>
      <c r="Q4" s="276" t="s">
        <v>304</v>
      </c>
      <c r="R4" s="276" t="s">
        <v>212</v>
      </c>
      <c r="S4" s="276" t="s">
        <v>213</v>
      </c>
      <c r="T4" s="276" t="s">
        <v>305</v>
      </c>
      <c r="U4" s="276" t="s">
        <v>126</v>
      </c>
      <c r="V4" s="153" t="s">
        <v>125</v>
      </c>
      <c r="W4" s="276" t="s">
        <v>311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220" t="s">
        <v>312</v>
      </c>
      <c r="AC4" s="458" t="s">
        <v>313</v>
      </c>
      <c r="AD4" s="459" t="s">
        <v>314</v>
      </c>
      <c r="AE4" s="460" t="s">
        <v>128</v>
      </c>
      <c r="AF4" s="152" t="s">
        <v>315</v>
      </c>
      <c r="AG4" s="152" t="s">
        <v>316</v>
      </c>
      <c r="AH4" s="152" t="s">
        <v>130</v>
      </c>
    </row>
    <row r="5" spans="1:34" ht="24" customHeight="1">
      <c r="A5" s="7"/>
      <c r="B5" s="7"/>
      <c r="C5" s="111" t="str">
        <f>+C2</f>
        <v>ア)東梅田駅の部-可動式ホーム柵設置に伴う建築工事</v>
      </c>
      <c r="D5" s="112"/>
      <c r="E5" s="97"/>
      <c r="F5" s="273"/>
      <c r="G5" s="113"/>
      <c r="H5" s="83" t="s">
        <v>11</v>
      </c>
      <c r="I5" s="83" t="s">
        <v>11</v>
      </c>
      <c r="J5" s="2738"/>
      <c r="K5" s="2739"/>
      <c r="L5" s="2740"/>
      <c r="M5" s="39"/>
      <c r="N5" s="39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0"/>
      <c r="AC5" s="229"/>
      <c r="AD5" s="461"/>
      <c r="AE5" s="462"/>
      <c r="AF5" s="229"/>
      <c r="AG5" s="229"/>
      <c r="AH5" s="463"/>
    </row>
    <row r="6" spans="1:34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M6" s="39"/>
      <c r="N6" s="39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0"/>
      <c r="AC6" s="229"/>
      <c r="AD6" s="461"/>
      <c r="AE6" s="462"/>
      <c r="AF6" s="229"/>
      <c r="AG6" s="229"/>
      <c r="AH6" s="213"/>
    </row>
    <row r="7" spans="1:34" ht="24" customHeight="1">
      <c r="A7" s="38"/>
      <c r="B7" s="38"/>
      <c r="C7" s="102"/>
      <c r="D7" s="65" t="s">
        <v>2506</v>
      </c>
      <c r="E7" s="99"/>
      <c r="F7" s="274">
        <v>1</v>
      </c>
      <c r="G7" s="115" t="s">
        <v>7</v>
      </c>
      <c r="H7" s="101"/>
      <c r="I7" s="101">
        <f>I70</f>
        <v>0</v>
      </c>
      <c r="J7" s="65"/>
      <c r="K7" s="65"/>
      <c r="L7" s="66"/>
      <c r="M7" s="39"/>
      <c r="N7" s="39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0"/>
      <c r="AC7" s="229"/>
      <c r="AD7" s="461"/>
      <c r="AE7" s="462"/>
      <c r="AF7" s="229"/>
      <c r="AG7" s="229"/>
      <c r="AH7" s="213"/>
    </row>
    <row r="8" spans="1:34" ht="24" customHeight="1">
      <c r="A8" s="38"/>
      <c r="B8" s="38"/>
      <c r="C8" s="102"/>
      <c r="D8" s="65" t="s">
        <v>2505</v>
      </c>
      <c r="E8" s="99"/>
      <c r="F8" s="274">
        <v>1</v>
      </c>
      <c r="G8" s="115" t="s">
        <v>7</v>
      </c>
      <c r="H8" s="101"/>
      <c r="I8" s="101">
        <f>I93</f>
        <v>3984000</v>
      </c>
      <c r="J8" s="65"/>
      <c r="K8" s="65"/>
      <c r="L8" s="66"/>
      <c r="M8" s="39"/>
      <c r="N8" s="39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0"/>
      <c r="AC8" s="229"/>
      <c r="AD8" s="461"/>
      <c r="AE8" s="462"/>
      <c r="AF8" s="229"/>
      <c r="AG8" s="229"/>
      <c r="AH8" s="213"/>
    </row>
    <row r="9" spans="1:34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M9" s="39"/>
      <c r="N9" s="39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0"/>
      <c r="AC9" s="229"/>
      <c r="AD9" s="461"/>
      <c r="AE9" s="462"/>
      <c r="AF9" s="229"/>
      <c r="AG9" s="229"/>
      <c r="AH9" s="213"/>
    </row>
    <row r="10" spans="1:34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M10" s="39"/>
      <c r="N10" s="39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0"/>
      <c r="AC10" s="229"/>
      <c r="AD10" s="461"/>
      <c r="AE10" s="462"/>
      <c r="AF10" s="229"/>
      <c r="AG10" s="229"/>
      <c r="AH10" s="213"/>
    </row>
    <row r="11" spans="1:34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M11" s="39"/>
      <c r="N11" s="39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0"/>
      <c r="AC11" s="229"/>
      <c r="AD11" s="461"/>
      <c r="AE11" s="462"/>
      <c r="AF11" s="229"/>
      <c r="AG11" s="229"/>
      <c r="AH11" s="213"/>
    </row>
    <row r="12" spans="1:34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0"/>
      <c r="AC12" s="229"/>
      <c r="AD12" s="461"/>
      <c r="AE12" s="462"/>
      <c r="AF12" s="229"/>
      <c r="AG12" s="229"/>
      <c r="AH12" s="213"/>
    </row>
    <row r="13" spans="1:34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M13" s="39"/>
      <c r="N13" s="39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0"/>
      <c r="AC13" s="229"/>
      <c r="AD13" s="461"/>
      <c r="AE13" s="462"/>
      <c r="AF13" s="229"/>
      <c r="AG13" s="229"/>
      <c r="AH13" s="213"/>
    </row>
    <row r="14" spans="1:34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M14" s="39"/>
      <c r="N14" s="39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0"/>
      <c r="AC14" s="229"/>
      <c r="AD14" s="461"/>
      <c r="AE14" s="462"/>
      <c r="AF14" s="229"/>
      <c r="AG14" s="229"/>
      <c r="AH14" s="213"/>
    </row>
    <row r="15" spans="1:34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0"/>
      <c r="AC15" s="229"/>
      <c r="AD15" s="461"/>
      <c r="AE15" s="462"/>
      <c r="AF15" s="229"/>
      <c r="AG15" s="229"/>
      <c r="AH15" s="213"/>
    </row>
    <row r="16" spans="1:34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3984000</v>
      </c>
      <c r="J16" s="824" t="str">
        <f>IF(COUNTIF(N:N,"費用")=0,"","うち費用")</f>
        <v/>
      </c>
      <c r="K16" s="825" t="str">
        <f>IF(COUNTIF(N:N,"費用")=0,"",SUMIF(N:N,"費用",I:I))</f>
        <v/>
      </c>
      <c r="L16" s="66"/>
      <c r="M16" s="39"/>
      <c r="N16" s="39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0"/>
      <c r="AC16" s="229"/>
      <c r="AD16" s="461"/>
      <c r="AE16" s="462"/>
      <c r="AF16" s="229"/>
      <c r="AG16" s="229"/>
      <c r="AH16" s="213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0"/>
      <c r="AC17" s="229"/>
      <c r="AD17" s="461"/>
      <c r="AE17" s="462"/>
      <c r="AF17" s="229"/>
      <c r="AG17" s="229"/>
      <c r="AH17" s="213"/>
    </row>
    <row r="18" spans="1:35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M18" s="39"/>
      <c r="N18" s="39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0"/>
      <c r="AC18" s="229"/>
      <c r="AD18" s="461"/>
      <c r="AE18" s="462"/>
      <c r="AF18" s="229"/>
      <c r="AG18" s="229"/>
      <c r="AH18" s="213"/>
    </row>
    <row r="19" spans="1:35" ht="24" customHeight="1">
      <c r="A19" s="38"/>
      <c r="B19" s="38"/>
      <c r="C19" s="102"/>
      <c r="D19" s="65" t="s">
        <v>147</v>
      </c>
      <c r="E19" s="99"/>
      <c r="F19" s="274">
        <v>1</v>
      </c>
      <c r="G19" s="115" t="s">
        <v>2466</v>
      </c>
      <c r="H19" s="101"/>
      <c r="I19" s="101">
        <f>I47</f>
        <v>110511</v>
      </c>
      <c r="J19" s="65"/>
      <c r="K19" s="65"/>
      <c r="L19" s="66"/>
      <c r="M19" s="39"/>
      <c r="N19" s="39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0"/>
      <c r="AC19" s="229"/>
      <c r="AD19" s="461"/>
      <c r="AE19" s="462"/>
      <c r="AF19" s="229"/>
      <c r="AG19" s="229"/>
      <c r="AH19" s="213"/>
    </row>
    <row r="20" spans="1:35" ht="24" customHeight="1">
      <c r="A20" s="38"/>
      <c r="B20" s="38"/>
      <c r="C20" s="102"/>
      <c r="D20" s="65" t="s">
        <v>3034</v>
      </c>
      <c r="E20" s="99"/>
      <c r="F20" s="274">
        <v>1</v>
      </c>
      <c r="G20" s="115" t="s">
        <v>7</v>
      </c>
      <c r="H20" s="101"/>
      <c r="I20" s="101">
        <f>+変更諸経費表!G66</f>
        <v>363047</v>
      </c>
      <c r="J20" s="192"/>
      <c r="K20" s="65"/>
      <c r="L20" s="66"/>
      <c r="M20" s="39"/>
      <c r="N20" s="39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0"/>
      <c r="AC20" s="229"/>
      <c r="AD20" s="461"/>
      <c r="AE20" s="462"/>
      <c r="AF20" s="229"/>
      <c r="AG20" s="229"/>
      <c r="AH20" s="213"/>
    </row>
    <row r="21" spans="1:35" ht="24" customHeight="1">
      <c r="A21" s="38"/>
      <c r="B21" s="38"/>
      <c r="C21" s="102"/>
      <c r="D21" s="65" t="s">
        <v>3033</v>
      </c>
      <c r="E21" s="99"/>
      <c r="F21" s="274">
        <v>1</v>
      </c>
      <c r="G21" s="115" t="s">
        <v>2466</v>
      </c>
      <c r="H21" s="101"/>
      <c r="I21" s="101">
        <f>+変更諸経費表!G74</f>
        <v>432462</v>
      </c>
      <c r="J21" s="65"/>
      <c r="K21" s="65"/>
      <c r="L21" s="66"/>
      <c r="M21" s="39"/>
      <c r="N21" s="39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0"/>
      <c r="AC21" s="229"/>
      <c r="AD21" s="461"/>
      <c r="AE21" s="462"/>
      <c r="AF21" s="229"/>
      <c r="AG21" s="229"/>
      <c r="AH21" s="213"/>
    </row>
    <row r="22" spans="1:35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906020</v>
      </c>
      <c r="J22" s="65"/>
      <c r="K22" s="65"/>
      <c r="L22" s="66"/>
      <c r="M22" s="39"/>
      <c r="N22" s="39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0"/>
      <c r="AC22" s="229"/>
      <c r="AD22" s="461"/>
      <c r="AE22" s="462"/>
      <c r="AF22" s="229"/>
      <c r="AG22" s="229"/>
      <c r="AH22" s="213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4890020</v>
      </c>
      <c r="J23" s="65" t="s">
        <v>3035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0"/>
      <c r="AC23" s="229"/>
      <c r="AD23" s="461"/>
      <c r="AE23" s="462"/>
      <c r="AF23" s="229"/>
      <c r="AG23" s="229"/>
      <c r="AH23" s="213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+変更諸経費表!G79</f>
        <v>3636000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0"/>
      <c r="AC24" s="229"/>
      <c r="AD24" s="461"/>
      <c r="AE24" s="462"/>
      <c r="AF24" s="229"/>
      <c r="AG24" s="229"/>
      <c r="AH24" s="463"/>
    </row>
    <row r="25" spans="1:35" ht="14.25" customHeight="1">
      <c r="E25" s="120" t="s">
        <v>86</v>
      </c>
      <c r="F25" s="121">
        <f>+F2+1</f>
        <v>4</v>
      </c>
      <c r="G25" s="122" t="s">
        <v>87</v>
      </c>
      <c r="H25" s="123">
        <f>H2</f>
        <v>11</v>
      </c>
      <c r="M25" s="33" t="str">
        <f>IF(A27="","EOL","")</f>
        <v/>
      </c>
      <c r="N25" s="1">
        <f>+F25</f>
        <v>4</v>
      </c>
    </row>
    <row r="26" spans="1:35" ht="26" customHeight="1" thickBot="1">
      <c r="C26" s="2741" t="s">
        <v>318</v>
      </c>
      <c r="D26" s="2741"/>
      <c r="E26" s="2741"/>
      <c r="F26" s="2741"/>
      <c r="G26" s="2741"/>
      <c r="H26" s="2741"/>
      <c r="I26" s="2741"/>
      <c r="J26" s="2741"/>
      <c r="K26" s="2741"/>
      <c r="L26" s="2741"/>
      <c r="O26" s="2735" t="s">
        <v>132</v>
      </c>
      <c r="P26" s="2736"/>
      <c r="Q26" s="2736"/>
      <c r="R26" s="2736"/>
      <c r="S26" s="2736"/>
      <c r="T26" s="2736"/>
      <c r="U26" s="2736"/>
      <c r="V26" s="2736"/>
      <c r="W26" s="2736"/>
      <c r="X26" s="2736"/>
      <c r="Y26" s="2736"/>
      <c r="Z26" s="2736"/>
      <c r="AA26" s="2736"/>
      <c r="AB26" s="2736"/>
      <c r="AC26" s="2736"/>
      <c r="AD26" s="2736"/>
      <c r="AE26" s="2736"/>
      <c r="AF26" s="2736"/>
      <c r="AG26" s="2736"/>
      <c r="AH26" s="2737"/>
    </row>
    <row r="27" spans="1:35" ht="42" customHeight="1">
      <c r="A27" s="5" t="s">
        <v>149</v>
      </c>
      <c r="B27" s="5" t="s">
        <v>9</v>
      </c>
      <c r="C27" s="833" t="s">
        <v>0</v>
      </c>
      <c r="D27" s="834"/>
      <c r="E27" s="63" t="s">
        <v>1</v>
      </c>
      <c r="F27" s="61" t="s">
        <v>2</v>
      </c>
      <c r="G27" s="61" t="s">
        <v>3</v>
      </c>
      <c r="H27" s="62" t="s">
        <v>4</v>
      </c>
      <c r="I27" s="62" t="s">
        <v>5</v>
      </c>
      <c r="J27" s="834" t="s">
        <v>6</v>
      </c>
      <c r="K27" s="834"/>
      <c r="L27" s="835"/>
      <c r="M27" s="39"/>
      <c r="N27" s="39"/>
      <c r="O27" s="154" t="s">
        <v>67</v>
      </c>
      <c r="P27" s="386" t="s">
        <v>264</v>
      </c>
      <c r="Q27" s="276" t="s">
        <v>304</v>
      </c>
      <c r="R27" s="276" t="s">
        <v>212</v>
      </c>
      <c r="S27" s="276" t="s">
        <v>213</v>
      </c>
      <c r="T27" s="276" t="s">
        <v>2467</v>
      </c>
      <c r="U27" s="276" t="s">
        <v>126</v>
      </c>
      <c r="V27" s="153" t="s">
        <v>125</v>
      </c>
      <c r="W27" s="276" t="s">
        <v>2468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220" t="s">
        <v>2469</v>
      </c>
      <c r="AC27" s="458" t="s">
        <v>313</v>
      </c>
      <c r="AD27" s="459" t="s">
        <v>314</v>
      </c>
      <c r="AE27" s="460" t="s">
        <v>128</v>
      </c>
      <c r="AF27" s="152" t="s">
        <v>131</v>
      </c>
      <c r="AG27" s="152" t="s">
        <v>129</v>
      </c>
      <c r="AH27" s="152" t="s">
        <v>130</v>
      </c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738"/>
      <c r="K28" s="2739"/>
      <c r="L28" s="2740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2479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9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+変更諸経費表!G21</f>
        <v>110511</v>
      </c>
      <c r="I30" s="101">
        <f t="shared" si="0"/>
        <v>110511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9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9"/>
    </row>
    <row r="32" spans="1:35" s="39" customFormat="1" ht="24" customHeight="1">
      <c r="A32" s="38"/>
      <c r="B32" s="38"/>
      <c r="C32" s="792"/>
      <c r="D32" s="793" t="s">
        <v>2480</v>
      </c>
      <c r="E32" s="794"/>
      <c r="F32" s="795"/>
      <c r="G32" s="796"/>
      <c r="H32" s="797"/>
      <c r="I32" s="798">
        <f>SUM(I30:I31)</f>
        <v>110511</v>
      </c>
      <c r="J32" s="793"/>
      <c r="K32" s="793"/>
      <c r="L32" s="799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9"/>
    </row>
    <row r="33" spans="1:35" s="39" customFormat="1" ht="24" customHeight="1">
      <c r="A33" s="38"/>
      <c r="B33" s="38"/>
      <c r="C33" s="800"/>
      <c r="D33" s="96"/>
      <c r="E33" s="97"/>
      <c r="F33" s="801"/>
      <c r="G33" s="132"/>
      <c r="H33" s="802"/>
      <c r="I33" s="803" t="str">
        <f t="shared" si="0"/>
        <v/>
      </c>
      <c r="J33" s="96"/>
      <c r="K33" s="96"/>
      <c r="L33" s="804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9"/>
    </row>
    <row r="34" spans="1:35" s="39" customFormat="1" ht="24" customHeight="1">
      <c r="A34" s="38"/>
      <c r="B34" s="38"/>
      <c r="C34" s="102"/>
      <c r="D34" s="65" t="s">
        <v>2481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9"/>
    </row>
    <row r="35" spans="1:35" s="39" customFormat="1" ht="24" customHeight="1">
      <c r="A35" s="38"/>
      <c r="B35" s="38"/>
      <c r="C35" s="102"/>
      <c r="D35" s="65" t="s">
        <v>2482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9"/>
    </row>
    <row r="36" spans="1:35" s="39" customFormat="1" ht="24" customHeight="1">
      <c r="A36" s="38"/>
      <c r="B36" s="38"/>
      <c r="C36" s="102"/>
      <c r="D36" s="65" t="s">
        <v>2483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9"/>
    </row>
    <row r="37" spans="1:35" s="39" customFormat="1" ht="24" customHeight="1">
      <c r="A37" s="38"/>
      <c r="B37" s="38"/>
      <c r="C37" s="102"/>
      <c r="D37" s="65" t="s">
        <v>2484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9"/>
    </row>
    <row r="38" spans="1:35" s="39" customFormat="1" ht="24" customHeight="1">
      <c r="A38" s="38"/>
      <c r="B38" s="38"/>
      <c r="C38" s="102"/>
      <c r="D38" s="65" t="s">
        <v>2485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9"/>
    </row>
    <row r="39" spans="1:35" s="39" customFormat="1" ht="24" customHeight="1">
      <c r="A39" s="38"/>
      <c r="B39" s="38"/>
      <c r="C39" s="102"/>
      <c r="D39" s="65" t="s">
        <v>2486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9"/>
    </row>
    <row r="40" spans="1:35" s="39" customFormat="1" ht="24" customHeight="1">
      <c r="A40" s="38"/>
      <c r="B40" s="38"/>
      <c r="C40" s="102"/>
      <c r="D40" s="65" t="s">
        <v>2487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9"/>
    </row>
    <row r="41" spans="1:35" s="39" customFormat="1" ht="24" customHeight="1">
      <c r="A41" s="38"/>
      <c r="B41" s="38"/>
      <c r="C41" s="102"/>
      <c r="D41" s="65" t="s">
        <v>2488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9"/>
    </row>
    <row r="42" spans="1:35" s="39" customFormat="1" ht="24" customHeight="1">
      <c r="A42" s="38"/>
      <c r="B42" s="38"/>
      <c r="C42" s="102"/>
      <c r="D42" s="65" t="s">
        <v>2489</v>
      </c>
      <c r="E42" s="99"/>
      <c r="F42" s="274">
        <v>1</v>
      </c>
      <c r="G42" s="115" t="s">
        <v>7</v>
      </c>
      <c r="H42" s="133"/>
      <c r="I42" s="101">
        <f t="shared" si="0"/>
        <v>0</v>
      </c>
      <c r="J42" s="65"/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9"/>
    </row>
    <row r="43" spans="1:35" s="39" customFormat="1" ht="24" customHeight="1">
      <c r="A43" s="38"/>
      <c r="B43" s="38"/>
      <c r="C43" s="102"/>
      <c r="D43" s="65" t="s">
        <v>2490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9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9"/>
    </row>
    <row r="45" spans="1:35" s="39" customFormat="1" ht="24" customHeight="1">
      <c r="A45" s="38"/>
      <c r="B45" s="38"/>
      <c r="C45" s="805"/>
      <c r="D45" s="793" t="s">
        <v>2491</v>
      </c>
      <c r="E45" s="794"/>
      <c r="F45" s="795"/>
      <c r="G45" s="796"/>
      <c r="H45" s="797"/>
      <c r="I45" s="798">
        <f>SUM(I35:I44)</f>
        <v>0</v>
      </c>
      <c r="J45" s="793"/>
      <c r="K45" s="793"/>
      <c r="L45" s="799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9"/>
    </row>
    <row r="46" spans="1:35" s="39" customFormat="1" ht="24" customHeight="1">
      <c r="A46" s="38"/>
      <c r="B46" s="38"/>
      <c r="C46" s="800"/>
      <c r="D46" s="96"/>
      <c r="E46" s="97"/>
      <c r="F46" s="801"/>
      <c r="G46" s="132"/>
      <c r="H46" s="802"/>
      <c r="I46" s="803" t="str">
        <f t="shared" si="0"/>
        <v/>
      </c>
      <c r="J46" s="96"/>
      <c r="K46" s="96"/>
      <c r="L46" s="804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9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105">
        <f>I32+I45</f>
        <v>110511</v>
      </c>
      <c r="J47" s="828" t="str">
        <f>IF(C28="部分撤去工事","）うち費用",")")</f>
        <v>)</v>
      </c>
      <c r="K47" s="827">
        <f>IF(C28="部分撤去工事",(工事2!K24+L47),0)</f>
        <v>0</v>
      </c>
      <c r="L47" s="826">
        <f>IF(C28="部分撤去工事",SUMIF(N29:N46,"費用",I29:I46),0)</f>
        <v>0</v>
      </c>
      <c r="M47" s="526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9"/>
    </row>
    <row r="48" spans="1:35" ht="14.25" customHeight="1">
      <c r="C48" s="160"/>
      <c r="D48" s="160"/>
      <c r="E48" s="120" t="s">
        <v>86</v>
      </c>
      <c r="F48" s="121">
        <f>+F25+1</f>
        <v>5</v>
      </c>
      <c r="G48" s="122" t="s">
        <v>87</v>
      </c>
      <c r="H48" s="123">
        <f>+H25</f>
        <v>11</v>
      </c>
      <c r="I48" s="123"/>
      <c r="M48" s="33" t="str">
        <f>IF(A50="","EOL","")</f>
        <v/>
      </c>
      <c r="N48" s="1">
        <f>+F48</f>
        <v>5</v>
      </c>
      <c r="O48" s="1"/>
      <c r="P48" s="1"/>
    </row>
    <row r="49" spans="1:34" ht="26" customHeight="1" thickBot="1">
      <c r="C49" s="2741" t="s">
        <v>320</v>
      </c>
      <c r="D49" s="2741"/>
      <c r="E49" s="2741"/>
      <c r="F49" s="2741"/>
      <c r="G49" s="2741"/>
      <c r="H49" s="2741"/>
      <c r="I49" s="2741"/>
      <c r="J49" s="2741"/>
      <c r="K49" s="2741"/>
      <c r="L49" s="2741"/>
      <c r="O49" s="2735" t="s">
        <v>132</v>
      </c>
      <c r="P49" s="2736"/>
      <c r="Q49" s="2736"/>
      <c r="R49" s="2736"/>
      <c r="S49" s="2736"/>
      <c r="T49" s="2736"/>
      <c r="U49" s="2736"/>
      <c r="V49" s="2736"/>
      <c r="W49" s="2736"/>
      <c r="X49" s="2736"/>
      <c r="Y49" s="2736"/>
      <c r="Z49" s="2736"/>
      <c r="AA49" s="2736"/>
      <c r="AB49" s="2736"/>
      <c r="AC49" s="2736"/>
      <c r="AD49" s="2736"/>
      <c r="AE49" s="2736"/>
      <c r="AF49" s="2736"/>
      <c r="AG49" s="2736"/>
      <c r="AH49" s="2737"/>
    </row>
    <row r="50" spans="1:34" ht="41.25" customHeight="1">
      <c r="A50" s="5" t="s">
        <v>2474</v>
      </c>
      <c r="B50" s="5" t="s">
        <v>2470</v>
      </c>
      <c r="C50" s="832" t="s">
        <v>0</v>
      </c>
      <c r="D50" s="830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742" t="s">
        <v>6</v>
      </c>
      <c r="K50" s="2743"/>
      <c r="L50" s="2744"/>
      <c r="M50" s="521"/>
      <c r="N50" s="522" t="s">
        <v>378</v>
      </c>
      <c r="O50" s="154" t="s">
        <v>67</v>
      </c>
      <c r="P50" s="386" t="s">
        <v>2475</v>
      </c>
      <c r="Q50" s="276" t="s">
        <v>2476</v>
      </c>
      <c r="R50" s="276" t="s">
        <v>212</v>
      </c>
      <c r="S50" s="276" t="s">
        <v>213</v>
      </c>
      <c r="T50" s="276" t="s">
        <v>2471</v>
      </c>
      <c r="U50" s="276" t="s">
        <v>126</v>
      </c>
      <c r="V50" s="153" t="s">
        <v>125</v>
      </c>
      <c r="W50" s="276" t="s">
        <v>2472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2477</v>
      </c>
      <c r="AC50" s="458" t="s">
        <v>313</v>
      </c>
      <c r="AD50" s="459" t="s">
        <v>314</v>
      </c>
      <c r="AE50" s="460" t="s">
        <v>128</v>
      </c>
      <c r="AF50" s="152" t="s">
        <v>2473</v>
      </c>
      <c r="AG50" s="152" t="s">
        <v>2478</v>
      </c>
      <c r="AH50" s="152" t="s">
        <v>130</v>
      </c>
    </row>
    <row r="51" spans="1:34" ht="24" customHeight="1">
      <c r="A51" s="38"/>
      <c r="B51" s="38"/>
      <c r="C51" s="128" t="s">
        <v>2507</v>
      </c>
      <c r="D51" s="129"/>
      <c r="E51" s="130"/>
      <c r="F51" s="273"/>
      <c r="G51" s="98"/>
      <c r="H51" s="90" t="s">
        <v>11</v>
      </c>
      <c r="I51" s="90" t="s">
        <v>11</v>
      </c>
      <c r="J51" s="2738"/>
      <c r="K51" s="2739"/>
      <c r="L51" s="2740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9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/>
      <c r="B53" s="38"/>
      <c r="C53" s="124"/>
      <c r="D53" s="788"/>
      <c r="E53" s="114"/>
      <c r="F53" s="274"/>
      <c r="G53" s="115"/>
      <c r="H53" s="131"/>
      <c r="I53" s="101" t="str">
        <f t="shared" si="1"/>
        <v/>
      </c>
      <c r="J53" s="64"/>
      <c r="K53" s="65"/>
      <c r="L53" s="66"/>
      <c r="M53" s="525"/>
      <c r="N53" s="520"/>
      <c r="O53" s="227">
        <v>2350</v>
      </c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1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1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1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74"/>
      <c r="G57" s="115"/>
      <c r="H57" s="131"/>
      <c r="I57" s="101" t="str">
        <f t="shared" si="1"/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1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/>
      <c r="B59" s="38"/>
      <c r="C59" s="124"/>
      <c r="D59" s="125"/>
      <c r="E59" s="114"/>
      <c r="F59" s="274"/>
      <c r="G59" s="115"/>
      <c r="H59" s="131"/>
      <c r="I59" s="101" t="str">
        <f t="shared" si="1"/>
        <v/>
      </c>
      <c r="J59" s="64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/>
      <c r="B60" s="38"/>
      <c r="C60" s="124"/>
      <c r="D60" s="125"/>
      <c r="E60" s="114"/>
      <c r="F60" s="274"/>
      <c r="G60" s="115"/>
      <c r="H60" s="131"/>
      <c r="I60" s="101" t="str">
        <f t="shared" si="1"/>
        <v/>
      </c>
      <c r="J60" s="64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1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1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1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1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1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88</v>
      </c>
      <c r="I70" s="105">
        <f>SUM(I52:I69)</f>
        <v>0</v>
      </c>
      <c r="J70" s="828" t="str">
        <f>IF(C51="部分撤去工事","）うち費用",")")</f>
        <v>)</v>
      </c>
      <c r="K70" s="827">
        <f>IF(C51="部分撤去工事",(工事2!K47+L70),0)</f>
        <v>0</v>
      </c>
      <c r="L70" s="826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6</v>
      </c>
      <c r="G71" s="122" t="s">
        <v>49</v>
      </c>
      <c r="H71" s="123">
        <f>+H48</f>
        <v>11</v>
      </c>
      <c r="I71" s="123"/>
      <c r="M71" s="33" t="str">
        <f>IF(A73="","EOL","")</f>
        <v/>
      </c>
      <c r="N71" s="1">
        <f>+F71</f>
        <v>6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" customHeight="1" thickBot="1">
      <c r="C72" s="2741" t="s">
        <v>320</v>
      </c>
      <c r="D72" s="2741"/>
      <c r="E72" s="2741"/>
      <c r="F72" s="2741"/>
      <c r="G72" s="2741"/>
      <c r="H72" s="2741"/>
      <c r="I72" s="2741"/>
      <c r="J72" s="2741"/>
      <c r="K72" s="2741"/>
      <c r="L72" s="2741"/>
      <c r="O72" s="2735" t="s">
        <v>132</v>
      </c>
      <c r="P72" s="2736"/>
      <c r="Q72" s="2736"/>
      <c r="R72" s="2736"/>
      <c r="S72" s="2736"/>
      <c r="T72" s="2736"/>
      <c r="U72" s="2736"/>
      <c r="V72" s="2736"/>
      <c r="W72" s="2736"/>
      <c r="X72" s="2736"/>
      <c r="Y72" s="2736"/>
      <c r="Z72" s="2736"/>
      <c r="AA72" s="2736"/>
      <c r="AB72" s="2736"/>
      <c r="AC72" s="2736"/>
      <c r="AD72" s="2736"/>
      <c r="AE72" s="2736"/>
      <c r="AF72" s="2736"/>
      <c r="AG72" s="2736"/>
      <c r="AH72" s="2737"/>
    </row>
    <row r="73" spans="1:34" ht="41.25" customHeight="1">
      <c r="A73" s="5" t="s">
        <v>12</v>
      </c>
      <c r="B73" s="5" t="s">
        <v>44</v>
      </c>
      <c r="C73" s="832" t="s">
        <v>0</v>
      </c>
      <c r="D73" s="830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742" t="s">
        <v>6</v>
      </c>
      <c r="K73" s="2743"/>
      <c r="L73" s="2744"/>
      <c r="M73" s="521"/>
      <c r="N73" s="522" t="s">
        <v>378</v>
      </c>
      <c r="O73" s="154" t="s">
        <v>67</v>
      </c>
      <c r="P73" s="386" t="s">
        <v>264</v>
      </c>
      <c r="Q73" s="276" t="s">
        <v>304</v>
      </c>
      <c r="R73" s="276" t="s">
        <v>212</v>
      </c>
      <c r="S73" s="276" t="s">
        <v>213</v>
      </c>
      <c r="T73" s="276" t="s">
        <v>265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267</v>
      </c>
      <c r="AC73" s="458" t="s">
        <v>313</v>
      </c>
      <c r="AD73" s="459" t="s">
        <v>314</v>
      </c>
      <c r="AE73" s="460" t="s">
        <v>128</v>
      </c>
      <c r="AF73" s="152" t="s">
        <v>131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3001</v>
      </c>
      <c r="D74" s="129"/>
      <c r="E74" s="130"/>
      <c r="F74" s="273"/>
      <c r="G74" s="98"/>
      <c r="H74" s="90" t="s">
        <v>11</v>
      </c>
      <c r="I74" s="90" t="s">
        <v>11</v>
      </c>
      <c r="J74" s="2738"/>
      <c r="K74" s="2739"/>
      <c r="L74" s="2740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2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>
        <v>200</v>
      </c>
      <c r="D76" s="788" t="s">
        <v>3030</v>
      </c>
      <c r="E76" s="114" t="s">
        <v>3027</v>
      </c>
      <c r="F76" s="274">
        <v>10</v>
      </c>
      <c r="G76" s="115" t="s">
        <v>3031</v>
      </c>
      <c r="H76" s="131">
        <f>見積比較!O$6</f>
        <v>330000</v>
      </c>
      <c r="I76" s="101">
        <f>IF(F76="","",INT(F76*H76))</f>
        <v>3300000</v>
      </c>
      <c r="J76" s="64" t="s">
        <v>3032</v>
      </c>
      <c r="K76" s="65"/>
      <c r="L76" s="66"/>
      <c r="M76" s="525"/>
      <c r="N76" s="520"/>
      <c r="O76" s="227">
        <v>0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 t="str">
        <f>+見積比較!D7</f>
        <v>連結部扉部鼻先架台</v>
      </c>
      <c r="E77" s="114" t="str">
        <f>+見積比較!E7</f>
        <v>床板ｽﾁｰﾙPL-3.2×W350×L900</v>
      </c>
      <c r="F77" s="274"/>
      <c r="G77" s="115"/>
      <c r="H77" s="131"/>
      <c r="I77" s="101" t="str">
        <f t="shared" si="2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 t="str">
        <f>+見積比較!E8</f>
        <v>ビス止め</v>
      </c>
      <c r="F78" s="274"/>
      <c r="G78" s="115"/>
      <c r="H78" s="131"/>
      <c r="I78" s="101" t="str">
        <f t="shared" si="2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/>
      <c r="B79" s="38"/>
      <c r="C79" s="124"/>
      <c r="D79" s="125"/>
      <c r="E79" s="114" t="str">
        <f>+見積比較!E9</f>
        <v>下地ｽﾁｰﾙ☐-25×25×1.6　＠300</v>
      </c>
      <c r="F79" s="274"/>
      <c r="G79" s="115"/>
      <c r="H79" s="131"/>
      <c r="I79" s="101" t="str">
        <f t="shared" si="2"/>
        <v/>
      </c>
      <c r="J79" s="64"/>
      <c r="K79" s="65"/>
      <c r="L79" s="66"/>
      <c r="M79" s="525"/>
      <c r="N79" s="520"/>
      <c r="O79" s="227"/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/>
      <c r="B80" s="38"/>
      <c r="C80" s="124"/>
      <c r="D80" s="125"/>
      <c r="E80" s="114" t="str">
        <f>+見積比較!E10</f>
        <v>取付ｱﾝｸﾞﾙ：L-25×25×2.3　L=50</v>
      </c>
      <c r="F80" s="274"/>
      <c r="G80" s="115"/>
      <c r="H80" s="131"/>
      <c r="I80" s="101" t="str">
        <f t="shared" si="2"/>
        <v/>
      </c>
      <c r="J80" s="64"/>
      <c r="K80" s="65"/>
      <c r="L80" s="66"/>
      <c r="M80" s="525"/>
      <c r="N80" s="520"/>
      <c r="O80" s="227"/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 t="str">
        <f>+見積比較!E11</f>
        <v>錆止め2回塗り共</v>
      </c>
      <c r="F81" s="274"/>
      <c r="G81" s="115"/>
      <c r="H81" s="131"/>
      <c r="I81" s="101" t="str">
        <f t="shared" si="2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/>
      <c r="F82" s="274"/>
      <c r="G82" s="115"/>
      <c r="H82" s="131"/>
      <c r="I82" s="101" t="str">
        <f t="shared" si="2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>
        <v>4</v>
      </c>
      <c r="B83" s="38">
        <v>4</v>
      </c>
      <c r="C83" s="124">
        <v>600</v>
      </c>
      <c r="D83" s="788" t="s">
        <v>3017</v>
      </c>
      <c r="E83" s="114" t="s">
        <v>3018</v>
      </c>
      <c r="F83" s="274">
        <v>4</v>
      </c>
      <c r="G83" s="115" t="s">
        <v>3038</v>
      </c>
      <c r="H83" s="131">
        <f>見積類似!Q$7</f>
        <v>171000</v>
      </c>
      <c r="I83" s="101">
        <f>IF(F83="","",INT(F83*H83))</f>
        <v>684000</v>
      </c>
      <c r="J83" s="64" t="s">
        <v>3039</v>
      </c>
      <c r="K83" s="65"/>
      <c r="L83" s="66"/>
      <c r="M83" s="525"/>
      <c r="N83" s="520"/>
      <c r="O83" s="227">
        <v>0</v>
      </c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/>
      <c r="B84" s="38"/>
      <c r="C84" s="124"/>
      <c r="D84" s="125" t="str">
        <f>+見積類似!L8</f>
        <v>鼻先ｽﾃﾝﾚｽプレート</v>
      </c>
      <c r="E84" s="114" t="str">
        <f>+見積類似!M8</f>
        <v>4-M10　タップネジ切</v>
      </c>
      <c r="F84" s="274"/>
      <c r="G84" s="115"/>
      <c r="H84" s="131"/>
      <c r="I84" s="101" t="str">
        <f t="shared" si="2"/>
        <v/>
      </c>
      <c r="J84" s="64"/>
      <c r="K84" s="65"/>
      <c r="L84" s="66"/>
      <c r="M84" s="525"/>
      <c r="N84" s="520"/>
      <c r="O84" s="227"/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/>
      <c r="E85" s="114" t="str">
        <f>+見積類似!M9</f>
        <v>SUS-50×50×4　L=40　4カ所</v>
      </c>
      <c r="F85" s="274"/>
      <c r="G85" s="115"/>
      <c r="H85" s="131"/>
      <c r="I85" s="101" t="str">
        <f t="shared" si="2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 t="str">
        <f>+見積類似!M10</f>
        <v>固定ボルトφ12</v>
      </c>
      <c r="F86" s="274"/>
      <c r="G86" s="115"/>
      <c r="H86" s="131"/>
      <c r="I86" s="101" t="str">
        <f t="shared" si="2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 t="str">
        <f>+見積類似!M11</f>
        <v>SUS-30×30×3　L=475　4カ所</v>
      </c>
      <c r="F87" s="274"/>
      <c r="G87" s="115"/>
      <c r="H87" s="131"/>
      <c r="I87" s="101" t="str">
        <f t="shared" si="2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 t="str">
        <f>+見積類似!M12</f>
        <v>固定アンカー2-φ12</v>
      </c>
      <c r="F88" s="274"/>
      <c r="G88" s="115"/>
      <c r="H88" s="131"/>
      <c r="I88" s="101" t="str">
        <f t="shared" si="2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 t="str">
        <f>+見積類似!M13</f>
        <v>SUSM10　六角ボルト</v>
      </c>
      <c r="F89" s="274"/>
      <c r="G89" s="115"/>
      <c r="H89" s="131"/>
      <c r="I89" s="101" t="str">
        <f t="shared" si="2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 t="str">
        <f>+見積類似!M14</f>
        <v>あと施工ｱﾝｶｰ　2-M10</v>
      </c>
      <c r="F90" s="274"/>
      <c r="G90" s="115"/>
      <c r="H90" s="131"/>
      <c r="I90" s="101" t="str">
        <f t="shared" si="2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/>
      <c r="F91" s="274"/>
      <c r="G91" s="115"/>
      <c r="H91" s="131"/>
      <c r="I91" s="101" t="str">
        <f t="shared" si="2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2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3984000</v>
      </c>
      <c r="J93" s="828" t="str">
        <f>IF(C74="部分撤去工事","）うち費用",")")</f>
        <v>)</v>
      </c>
      <c r="K93" s="827">
        <f>IF(C74="部分撤去工事",(K70+L93),0)</f>
        <v>0</v>
      </c>
      <c r="L93" s="826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7</v>
      </c>
      <c r="G94" s="122" t="s">
        <v>87</v>
      </c>
      <c r="H94" s="123">
        <f>+H71</f>
        <v>11</v>
      </c>
      <c r="I94" s="123"/>
      <c r="M94" s="33" t="str">
        <f>IF(A96="","EOL","")</f>
        <v>EOL</v>
      </c>
      <c r="N94" s="1">
        <f>+F94</f>
        <v>7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6" spans="1:34" ht="41.25" customHeight="1">
      <c r="D96" s="272"/>
    </row>
    <row r="97" spans="4:4" ht="24" customHeight="1">
      <c r="D97" s="160"/>
    </row>
    <row r="98" spans="4:4" ht="24" customHeight="1">
      <c r="D98" s="272"/>
    </row>
    <row r="99" spans="4:4" ht="24" customHeight="1">
      <c r="D99" s="272"/>
    </row>
  </sheetData>
  <mergeCells count="15">
    <mergeCell ref="C49:L49"/>
    <mergeCell ref="C72:L72"/>
    <mergeCell ref="O72:AH72"/>
    <mergeCell ref="J73:L73"/>
    <mergeCell ref="J74:L74"/>
    <mergeCell ref="O49:AH49"/>
    <mergeCell ref="J50:L50"/>
    <mergeCell ref="J51:L51"/>
    <mergeCell ref="O3:AH3"/>
    <mergeCell ref="O26:AH26"/>
    <mergeCell ref="J28:L28"/>
    <mergeCell ref="J5:L5"/>
    <mergeCell ref="C3:L3"/>
    <mergeCell ref="C26:L26"/>
    <mergeCell ref="J4:L4"/>
  </mergeCells>
  <phoneticPr fontId="2"/>
  <dataValidations count="1">
    <dataValidation type="list" allowBlank="1" showInputMessage="1" showErrorMessage="1" prompt="費用/建物附属設備/工具・器具・備品の場合、選択してください。" sqref="N52:N69 N75:N92" xr:uid="{00000000-0002-0000-06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98425196850393704" right="0.39370078740157499" top="0.78740157480314998" bottom="0.78740157480314998" header="0.511811023622047" footer="0.511811023622047"/>
  <pageSetup paperSize="9" scale="61" orientation="portrait" horizontalDpi="300" verticalDpi="300" r:id="rId1"/>
  <headerFooter alignWithMargins="0"/>
  <rowBreaks count="1" manualBreakCount="1">
    <brk id="2" max="16383" man="1"/>
  </rowBreaks>
  <colBreaks count="1" manualBreakCount="1">
    <brk id="12" max="1048575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B1687"/>
  <sheetViews>
    <sheetView workbookViewId="0">
      <selection activeCell="B22" sqref="B22"/>
    </sheetView>
  </sheetViews>
  <sheetFormatPr baseColWidth="10" defaultColWidth="8.83203125" defaultRowHeight="14"/>
  <cols>
    <col min="1" max="1" width="9.5" bestFit="1" customWidth="1"/>
    <col min="2" max="2" width="93.83203125" bestFit="1" customWidth="1"/>
  </cols>
  <sheetData>
    <row r="1" spans="1:2">
      <c r="A1" t="s">
        <v>2394</v>
      </c>
      <c r="B1" t="s">
        <v>2395</v>
      </c>
    </row>
    <row r="2" spans="1:2">
      <c r="A2" s="760">
        <v>10100101</v>
      </c>
      <c r="B2" t="s">
        <v>731</v>
      </c>
    </row>
    <row r="3" spans="1:2">
      <c r="A3" s="760">
        <v>10100201</v>
      </c>
      <c r="B3" t="s">
        <v>732</v>
      </c>
    </row>
    <row r="4" spans="1:2">
      <c r="A4" s="760">
        <v>10100301</v>
      </c>
      <c r="B4" t="s">
        <v>733</v>
      </c>
    </row>
    <row r="5" spans="1:2">
      <c r="A5" s="760">
        <v>10100401</v>
      </c>
      <c r="B5" t="s">
        <v>734</v>
      </c>
    </row>
    <row r="6" spans="1:2">
      <c r="A6" s="760">
        <v>10100501</v>
      </c>
      <c r="B6" t="s">
        <v>735</v>
      </c>
    </row>
    <row r="7" spans="1:2">
      <c r="A7" s="760">
        <v>10100601</v>
      </c>
      <c r="B7" t="s">
        <v>736</v>
      </c>
    </row>
    <row r="8" spans="1:2">
      <c r="A8" s="760">
        <v>10199901</v>
      </c>
      <c r="B8" t="s">
        <v>737</v>
      </c>
    </row>
    <row r="9" spans="1:2">
      <c r="A9" s="760">
        <v>10500701</v>
      </c>
      <c r="B9" t="s">
        <v>738</v>
      </c>
    </row>
    <row r="10" spans="1:2">
      <c r="A10" s="760">
        <v>10500702</v>
      </c>
      <c r="B10" t="s">
        <v>739</v>
      </c>
    </row>
    <row r="11" spans="1:2">
      <c r="A11" s="760">
        <v>10500703</v>
      </c>
      <c r="B11" t="s">
        <v>740</v>
      </c>
    </row>
    <row r="12" spans="1:2">
      <c r="A12" s="760">
        <v>10500704</v>
      </c>
      <c r="B12" t="s">
        <v>741</v>
      </c>
    </row>
    <row r="13" spans="1:2">
      <c r="A13" s="760">
        <v>10500705</v>
      </c>
      <c r="B13" t="s">
        <v>742</v>
      </c>
    </row>
    <row r="14" spans="1:2">
      <c r="A14" s="760">
        <v>10500706</v>
      </c>
      <c r="B14" t="s">
        <v>743</v>
      </c>
    </row>
    <row r="15" spans="1:2">
      <c r="A15" s="760">
        <v>10500707</v>
      </c>
      <c r="B15" t="s">
        <v>744</v>
      </c>
    </row>
    <row r="16" spans="1:2">
      <c r="A16" s="760">
        <v>10500708</v>
      </c>
      <c r="B16" t="s">
        <v>745</v>
      </c>
    </row>
    <row r="17" spans="1:2">
      <c r="A17" s="760">
        <v>10500709</v>
      </c>
      <c r="B17" t="s">
        <v>746</v>
      </c>
    </row>
    <row r="18" spans="1:2">
      <c r="A18" s="760">
        <v>10500801</v>
      </c>
      <c r="B18" t="s">
        <v>763</v>
      </c>
    </row>
    <row r="19" spans="1:2">
      <c r="A19" s="760">
        <v>10500802</v>
      </c>
      <c r="B19" t="s">
        <v>764</v>
      </c>
    </row>
    <row r="20" spans="1:2">
      <c r="A20" s="760">
        <v>10500803</v>
      </c>
      <c r="B20" t="s">
        <v>765</v>
      </c>
    </row>
    <row r="21" spans="1:2">
      <c r="A21" s="760">
        <v>10500804</v>
      </c>
      <c r="B21" t="s">
        <v>766</v>
      </c>
    </row>
    <row r="22" spans="1:2">
      <c r="A22" s="760">
        <v>10500805</v>
      </c>
      <c r="B22" t="s">
        <v>767</v>
      </c>
    </row>
    <row r="23" spans="1:2">
      <c r="A23" s="760">
        <v>10500806</v>
      </c>
      <c r="B23" t="s">
        <v>768</v>
      </c>
    </row>
    <row r="24" spans="1:2">
      <c r="A24" s="760">
        <v>10500807</v>
      </c>
      <c r="B24" t="s">
        <v>769</v>
      </c>
    </row>
    <row r="25" spans="1:2">
      <c r="A25">
        <v>10500808</v>
      </c>
      <c r="B25" t="s">
        <v>770</v>
      </c>
    </row>
    <row r="26" spans="1:2">
      <c r="A26">
        <v>10500809</v>
      </c>
      <c r="B26" t="s">
        <v>771</v>
      </c>
    </row>
    <row r="27" spans="1:2">
      <c r="A27" s="760">
        <v>10500901</v>
      </c>
      <c r="B27" t="s">
        <v>788</v>
      </c>
    </row>
    <row r="28" spans="1:2">
      <c r="A28" s="760">
        <v>10500902</v>
      </c>
      <c r="B28" t="s">
        <v>789</v>
      </c>
    </row>
    <row r="29" spans="1:2">
      <c r="A29" s="760">
        <v>10500903</v>
      </c>
      <c r="B29" t="s">
        <v>790</v>
      </c>
    </row>
    <row r="30" spans="1:2">
      <c r="A30" s="760">
        <v>10500904</v>
      </c>
      <c r="B30" t="s">
        <v>791</v>
      </c>
    </row>
    <row r="31" spans="1:2">
      <c r="A31" s="760">
        <v>10500905</v>
      </c>
      <c r="B31" t="s">
        <v>792</v>
      </c>
    </row>
    <row r="32" spans="1:2">
      <c r="A32" s="760">
        <v>10500906</v>
      </c>
      <c r="B32" t="s">
        <v>793</v>
      </c>
    </row>
    <row r="33" spans="1:2">
      <c r="A33" s="760">
        <v>10500907</v>
      </c>
      <c r="B33" t="s">
        <v>794</v>
      </c>
    </row>
    <row r="34" spans="1:2">
      <c r="A34" s="760">
        <v>10500908</v>
      </c>
      <c r="B34" t="s">
        <v>795</v>
      </c>
    </row>
    <row r="35" spans="1:2">
      <c r="A35">
        <v>10500909</v>
      </c>
      <c r="B35" t="s">
        <v>796</v>
      </c>
    </row>
    <row r="36" spans="1:2">
      <c r="A36">
        <v>10501001</v>
      </c>
      <c r="B36" t="s">
        <v>813</v>
      </c>
    </row>
    <row r="37" spans="1:2">
      <c r="A37">
        <v>10501002</v>
      </c>
      <c r="B37" t="s">
        <v>814</v>
      </c>
    </row>
    <row r="38" spans="1:2">
      <c r="A38">
        <v>10501003</v>
      </c>
      <c r="B38" t="s">
        <v>815</v>
      </c>
    </row>
    <row r="39" spans="1:2">
      <c r="A39">
        <v>10501004</v>
      </c>
      <c r="B39" t="s">
        <v>816</v>
      </c>
    </row>
    <row r="40" spans="1:2">
      <c r="A40">
        <v>10501005</v>
      </c>
      <c r="B40" t="s">
        <v>817</v>
      </c>
    </row>
    <row r="41" spans="1:2">
      <c r="A41">
        <v>10501006</v>
      </c>
      <c r="B41" t="s">
        <v>818</v>
      </c>
    </row>
    <row r="42" spans="1:2">
      <c r="A42">
        <v>10501007</v>
      </c>
      <c r="B42" t="s">
        <v>819</v>
      </c>
    </row>
    <row r="43" spans="1:2">
      <c r="A43">
        <v>10501008</v>
      </c>
      <c r="B43" t="s">
        <v>820</v>
      </c>
    </row>
    <row r="44" spans="1:2">
      <c r="A44">
        <v>10501009</v>
      </c>
      <c r="B44" t="s">
        <v>821</v>
      </c>
    </row>
    <row r="45" spans="1:2">
      <c r="A45" s="760">
        <v>10501101</v>
      </c>
      <c r="B45" t="s">
        <v>838</v>
      </c>
    </row>
    <row r="46" spans="1:2">
      <c r="A46" s="760">
        <v>10501102</v>
      </c>
      <c r="B46" t="s">
        <v>839</v>
      </c>
    </row>
    <row r="47" spans="1:2">
      <c r="A47" s="760">
        <v>10501103</v>
      </c>
      <c r="B47" t="s">
        <v>840</v>
      </c>
    </row>
    <row r="48" spans="1:2">
      <c r="A48" s="760">
        <v>10501104</v>
      </c>
      <c r="B48" t="s">
        <v>841</v>
      </c>
    </row>
    <row r="49" spans="1:2">
      <c r="A49" s="760">
        <v>10501105</v>
      </c>
      <c r="B49" t="s">
        <v>842</v>
      </c>
    </row>
    <row r="50" spans="1:2">
      <c r="A50" s="760">
        <v>10501106</v>
      </c>
      <c r="B50" t="s">
        <v>843</v>
      </c>
    </row>
    <row r="51" spans="1:2">
      <c r="A51" s="760">
        <v>10501107</v>
      </c>
      <c r="B51" t="s">
        <v>844</v>
      </c>
    </row>
    <row r="52" spans="1:2">
      <c r="A52">
        <v>10501108</v>
      </c>
      <c r="B52" t="s">
        <v>845</v>
      </c>
    </row>
    <row r="53" spans="1:2">
      <c r="A53">
        <v>10501109</v>
      </c>
      <c r="B53" t="s">
        <v>846</v>
      </c>
    </row>
    <row r="54" spans="1:2">
      <c r="A54">
        <v>10501201</v>
      </c>
      <c r="B54" t="s">
        <v>863</v>
      </c>
    </row>
    <row r="55" spans="1:2">
      <c r="A55">
        <v>10501202</v>
      </c>
      <c r="B55" t="s">
        <v>864</v>
      </c>
    </row>
    <row r="56" spans="1:2">
      <c r="A56">
        <v>10501203</v>
      </c>
      <c r="B56" t="s">
        <v>865</v>
      </c>
    </row>
    <row r="57" spans="1:2">
      <c r="A57">
        <v>10501204</v>
      </c>
      <c r="B57" t="s">
        <v>866</v>
      </c>
    </row>
    <row r="58" spans="1:2">
      <c r="A58">
        <v>10501205</v>
      </c>
      <c r="B58" t="s">
        <v>867</v>
      </c>
    </row>
    <row r="59" spans="1:2">
      <c r="A59">
        <v>10501206</v>
      </c>
      <c r="B59" t="s">
        <v>868</v>
      </c>
    </row>
    <row r="60" spans="1:2">
      <c r="A60">
        <v>10501207</v>
      </c>
      <c r="B60" t="s">
        <v>869</v>
      </c>
    </row>
    <row r="61" spans="1:2">
      <c r="A61">
        <v>10501208</v>
      </c>
      <c r="B61" t="s">
        <v>870</v>
      </c>
    </row>
    <row r="62" spans="1:2">
      <c r="A62">
        <v>10501209</v>
      </c>
      <c r="B62" t="s">
        <v>871</v>
      </c>
    </row>
    <row r="63" spans="1:2">
      <c r="A63">
        <v>10501301</v>
      </c>
      <c r="B63" t="s">
        <v>888</v>
      </c>
    </row>
    <row r="64" spans="1:2">
      <c r="A64">
        <v>10501302</v>
      </c>
      <c r="B64" t="s">
        <v>889</v>
      </c>
    </row>
    <row r="65" spans="1:2">
      <c r="A65">
        <v>10501303</v>
      </c>
      <c r="B65" t="s">
        <v>890</v>
      </c>
    </row>
    <row r="66" spans="1:2">
      <c r="A66">
        <v>10501304</v>
      </c>
      <c r="B66" t="s">
        <v>891</v>
      </c>
    </row>
    <row r="67" spans="1:2">
      <c r="A67">
        <v>10501305</v>
      </c>
      <c r="B67" t="s">
        <v>892</v>
      </c>
    </row>
    <row r="68" spans="1:2">
      <c r="A68">
        <v>10501306</v>
      </c>
      <c r="B68" t="s">
        <v>893</v>
      </c>
    </row>
    <row r="69" spans="1:2">
      <c r="A69">
        <v>10501307</v>
      </c>
      <c r="B69" t="s">
        <v>894</v>
      </c>
    </row>
    <row r="70" spans="1:2">
      <c r="A70">
        <v>10501308</v>
      </c>
      <c r="B70" t="s">
        <v>895</v>
      </c>
    </row>
    <row r="71" spans="1:2">
      <c r="A71">
        <v>10501309</v>
      </c>
      <c r="B71" t="s">
        <v>896</v>
      </c>
    </row>
    <row r="72" spans="1:2">
      <c r="A72">
        <v>10599901</v>
      </c>
      <c r="B72" t="s">
        <v>913</v>
      </c>
    </row>
    <row r="73" spans="1:2">
      <c r="A73">
        <v>10599902</v>
      </c>
      <c r="B73" t="s">
        <v>914</v>
      </c>
    </row>
    <row r="74" spans="1:2">
      <c r="A74">
        <v>10599903</v>
      </c>
      <c r="B74" t="s">
        <v>915</v>
      </c>
    </row>
    <row r="75" spans="1:2">
      <c r="A75">
        <v>10599904</v>
      </c>
      <c r="B75" t="s">
        <v>916</v>
      </c>
    </row>
    <row r="76" spans="1:2">
      <c r="A76">
        <v>10599905</v>
      </c>
      <c r="B76" t="s">
        <v>917</v>
      </c>
    </row>
    <row r="77" spans="1:2">
      <c r="A77">
        <v>10599906</v>
      </c>
      <c r="B77" t="s">
        <v>918</v>
      </c>
    </row>
    <row r="78" spans="1:2">
      <c r="A78">
        <v>10599907</v>
      </c>
      <c r="B78" t="s">
        <v>919</v>
      </c>
    </row>
    <row r="79" spans="1:2">
      <c r="A79">
        <v>10599908</v>
      </c>
      <c r="B79" t="s">
        <v>920</v>
      </c>
    </row>
    <row r="80" spans="1:2">
      <c r="A80">
        <v>10599909</v>
      </c>
      <c r="B80" t="s">
        <v>921</v>
      </c>
    </row>
    <row r="81" spans="1:2">
      <c r="A81">
        <v>10599910</v>
      </c>
      <c r="B81" t="s">
        <v>922</v>
      </c>
    </row>
    <row r="82" spans="1:2">
      <c r="A82">
        <v>10599911</v>
      </c>
      <c r="B82" t="s">
        <v>923</v>
      </c>
    </row>
    <row r="83" spans="1:2">
      <c r="A83">
        <v>10599912</v>
      </c>
      <c r="B83" t="s">
        <v>924</v>
      </c>
    </row>
    <row r="84" spans="1:2">
      <c r="A84">
        <v>10599913</v>
      </c>
      <c r="B84" t="s">
        <v>925</v>
      </c>
    </row>
    <row r="85" spans="1:2">
      <c r="A85">
        <v>10599914</v>
      </c>
      <c r="B85" t="s">
        <v>926</v>
      </c>
    </row>
    <row r="86" spans="1:2">
      <c r="A86">
        <v>10599915</v>
      </c>
      <c r="B86" t="s">
        <v>927</v>
      </c>
    </row>
    <row r="87" spans="1:2">
      <c r="A87">
        <v>10599916</v>
      </c>
      <c r="B87" t="s">
        <v>928</v>
      </c>
    </row>
    <row r="88" spans="1:2">
      <c r="A88">
        <v>10599917</v>
      </c>
      <c r="B88" t="s">
        <v>929</v>
      </c>
    </row>
    <row r="89" spans="1:2">
      <c r="A89">
        <v>10599918</v>
      </c>
      <c r="B89" t="s">
        <v>930</v>
      </c>
    </row>
    <row r="90" spans="1:2">
      <c r="A90">
        <v>10599919</v>
      </c>
      <c r="B90" t="s">
        <v>931</v>
      </c>
    </row>
    <row r="91" spans="1:2">
      <c r="A91">
        <v>10599920</v>
      </c>
      <c r="B91" t="s">
        <v>932</v>
      </c>
    </row>
    <row r="92" spans="1:2">
      <c r="A92">
        <v>10599921</v>
      </c>
      <c r="B92" t="s">
        <v>933</v>
      </c>
    </row>
    <row r="93" spans="1:2">
      <c r="A93">
        <v>10599922</v>
      </c>
      <c r="B93" t="s">
        <v>934</v>
      </c>
    </row>
    <row r="94" spans="1:2">
      <c r="A94">
        <v>10599923</v>
      </c>
      <c r="B94" t="s">
        <v>935</v>
      </c>
    </row>
    <row r="95" spans="1:2">
      <c r="A95">
        <v>10599924</v>
      </c>
      <c r="B95" t="s">
        <v>936</v>
      </c>
    </row>
    <row r="96" spans="1:2">
      <c r="A96">
        <v>10599925</v>
      </c>
      <c r="B96" t="s">
        <v>937</v>
      </c>
    </row>
    <row r="97" spans="1:2">
      <c r="A97">
        <v>10599926</v>
      </c>
      <c r="B97" t="s">
        <v>938</v>
      </c>
    </row>
    <row r="98" spans="1:2">
      <c r="A98">
        <v>10599927</v>
      </c>
      <c r="B98" t="s">
        <v>939</v>
      </c>
    </row>
    <row r="99" spans="1:2">
      <c r="A99">
        <v>10500710</v>
      </c>
      <c r="B99" t="s">
        <v>747</v>
      </c>
    </row>
    <row r="100" spans="1:2">
      <c r="A100">
        <v>10500711</v>
      </c>
      <c r="B100" t="s">
        <v>748</v>
      </c>
    </row>
    <row r="101" spans="1:2">
      <c r="A101">
        <v>10500712</v>
      </c>
      <c r="B101" t="s">
        <v>749</v>
      </c>
    </row>
    <row r="102" spans="1:2">
      <c r="A102">
        <v>10500713</v>
      </c>
      <c r="B102" t="s">
        <v>750</v>
      </c>
    </row>
    <row r="103" spans="1:2">
      <c r="A103">
        <v>10500714</v>
      </c>
      <c r="B103" t="s">
        <v>751</v>
      </c>
    </row>
    <row r="104" spans="1:2">
      <c r="A104">
        <v>10500715</v>
      </c>
      <c r="B104" t="s">
        <v>752</v>
      </c>
    </row>
    <row r="105" spans="1:2">
      <c r="A105">
        <v>10500716</v>
      </c>
      <c r="B105" t="s">
        <v>753</v>
      </c>
    </row>
    <row r="106" spans="1:2">
      <c r="A106">
        <v>10500717</v>
      </c>
      <c r="B106" t="s">
        <v>754</v>
      </c>
    </row>
    <row r="107" spans="1:2">
      <c r="A107">
        <v>10500718</v>
      </c>
      <c r="B107" t="s">
        <v>755</v>
      </c>
    </row>
    <row r="108" spans="1:2">
      <c r="A108">
        <v>10500719</v>
      </c>
      <c r="B108" t="s">
        <v>756</v>
      </c>
    </row>
    <row r="109" spans="1:2">
      <c r="A109">
        <v>10500720</v>
      </c>
      <c r="B109" t="s">
        <v>757</v>
      </c>
    </row>
    <row r="110" spans="1:2">
      <c r="A110">
        <v>10500721</v>
      </c>
      <c r="B110" t="s">
        <v>758</v>
      </c>
    </row>
    <row r="111" spans="1:2">
      <c r="A111">
        <v>10500722</v>
      </c>
      <c r="B111" t="s">
        <v>759</v>
      </c>
    </row>
    <row r="112" spans="1:2">
      <c r="A112">
        <v>10500723</v>
      </c>
      <c r="B112" t="s">
        <v>760</v>
      </c>
    </row>
    <row r="113" spans="1:2">
      <c r="A113">
        <v>10500724</v>
      </c>
      <c r="B113" t="s">
        <v>761</v>
      </c>
    </row>
    <row r="114" spans="1:2">
      <c r="A114">
        <v>10500725</v>
      </c>
      <c r="B114" t="s">
        <v>762</v>
      </c>
    </row>
    <row r="115" spans="1:2">
      <c r="A115">
        <v>10500810</v>
      </c>
      <c r="B115" t="s">
        <v>772</v>
      </c>
    </row>
    <row r="116" spans="1:2">
      <c r="A116">
        <v>10500811</v>
      </c>
      <c r="B116" t="s">
        <v>773</v>
      </c>
    </row>
    <row r="117" spans="1:2">
      <c r="A117">
        <v>10500812</v>
      </c>
      <c r="B117" t="s">
        <v>774</v>
      </c>
    </row>
    <row r="118" spans="1:2">
      <c r="A118">
        <v>10500813</v>
      </c>
      <c r="B118" t="s">
        <v>775</v>
      </c>
    </row>
    <row r="119" spans="1:2">
      <c r="A119">
        <v>10500814</v>
      </c>
      <c r="B119" t="s">
        <v>776</v>
      </c>
    </row>
    <row r="120" spans="1:2">
      <c r="A120">
        <v>10500815</v>
      </c>
      <c r="B120" t="s">
        <v>777</v>
      </c>
    </row>
    <row r="121" spans="1:2">
      <c r="A121">
        <v>10500816</v>
      </c>
      <c r="B121" t="s">
        <v>778</v>
      </c>
    </row>
    <row r="122" spans="1:2">
      <c r="A122">
        <v>10500817</v>
      </c>
      <c r="B122" t="s">
        <v>779</v>
      </c>
    </row>
    <row r="123" spans="1:2">
      <c r="A123">
        <v>10500818</v>
      </c>
      <c r="B123" t="s">
        <v>780</v>
      </c>
    </row>
    <row r="124" spans="1:2">
      <c r="A124">
        <v>10500819</v>
      </c>
      <c r="B124" t="s">
        <v>781</v>
      </c>
    </row>
    <row r="125" spans="1:2">
      <c r="A125">
        <v>10500820</v>
      </c>
      <c r="B125" t="s">
        <v>782</v>
      </c>
    </row>
    <row r="126" spans="1:2">
      <c r="A126">
        <v>10500821</v>
      </c>
      <c r="B126" t="s">
        <v>783</v>
      </c>
    </row>
    <row r="127" spans="1:2">
      <c r="A127">
        <v>10500822</v>
      </c>
      <c r="B127" t="s">
        <v>784</v>
      </c>
    </row>
    <row r="128" spans="1:2">
      <c r="A128">
        <v>10500823</v>
      </c>
      <c r="B128" t="s">
        <v>785</v>
      </c>
    </row>
    <row r="129" spans="1:2">
      <c r="A129">
        <v>10500824</v>
      </c>
      <c r="B129" t="s">
        <v>786</v>
      </c>
    </row>
    <row r="130" spans="1:2">
      <c r="A130">
        <v>10500825</v>
      </c>
      <c r="B130" t="s">
        <v>787</v>
      </c>
    </row>
    <row r="131" spans="1:2">
      <c r="A131">
        <v>10500910</v>
      </c>
      <c r="B131" t="s">
        <v>797</v>
      </c>
    </row>
    <row r="132" spans="1:2">
      <c r="A132">
        <v>10500911</v>
      </c>
      <c r="B132" t="s">
        <v>798</v>
      </c>
    </row>
    <row r="133" spans="1:2">
      <c r="A133">
        <v>10500912</v>
      </c>
      <c r="B133" t="s">
        <v>799</v>
      </c>
    </row>
    <row r="134" spans="1:2">
      <c r="A134">
        <v>10500913</v>
      </c>
      <c r="B134" t="s">
        <v>800</v>
      </c>
    </row>
    <row r="135" spans="1:2">
      <c r="A135">
        <v>10500914</v>
      </c>
      <c r="B135" t="s">
        <v>801</v>
      </c>
    </row>
    <row r="136" spans="1:2">
      <c r="A136">
        <v>10500915</v>
      </c>
      <c r="B136" t="s">
        <v>802</v>
      </c>
    </row>
    <row r="137" spans="1:2">
      <c r="A137">
        <v>10500916</v>
      </c>
      <c r="B137" t="s">
        <v>803</v>
      </c>
    </row>
    <row r="138" spans="1:2">
      <c r="A138">
        <v>10500917</v>
      </c>
      <c r="B138" t="s">
        <v>804</v>
      </c>
    </row>
    <row r="139" spans="1:2">
      <c r="A139">
        <v>10500918</v>
      </c>
      <c r="B139" t="s">
        <v>805</v>
      </c>
    </row>
    <row r="140" spans="1:2">
      <c r="A140">
        <v>10500919</v>
      </c>
      <c r="B140" t="s">
        <v>806</v>
      </c>
    </row>
    <row r="141" spans="1:2">
      <c r="A141">
        <v>10500920</v>
      </c>
      <c r="B141" t="s">
        <v>807</v>
      </c>
    </row>
    <row r="142" spans="1:2">
      <c r="A142">
        <v>10500921</v>
      </c>
      <c r="B142" t="s">
        <v>808</v>
      </c>
    </row>
    <row r="143" spans="1:2">
      <c r="A143">
        <v>10500922</v>
      </c>
      <c r="B143" t="s">
        <v>809</v>
      </c>
    </row>
    <row r="144" spans="1:2">
      <c r="A144">
        <v>10500923</v>
      </c>
      <c r="B144" t="s">
        <v>810</v>
      </c>
    </row>
    <row r="145" spans="1:2">
      <c r="A145">
        <v>10500924</v>
      </c>
      <c r="B145" t="s">
        <v>811</v>
      </c>
    </row>
    <row r="146" spans="1:2">
      <c r="A146">
        <v>10500925</v>
      </c>
      <c r="B146" t="s">
        <v>812</v>
      </c>
    </row>
    <row r="147" spans="1:2">
      <c r="A147">
        <v>10501010</v>
      </c>
      <c r="B147" t="s">
        <v>822</v>
      </c>
    </row>
    <row r="148" spans="1:2">
      <c r="A148">
        <v>10501011</v>
      </c>
      <c r="B148" t="s">
        <v>823</v>
      </c>
    </row>
    <row r="149" spans="1:2">
      <c r="A149">
        <v>10501012</v>
      </c>
      <c r="B149" t="s">
        <v>824</v>
      </c>
    </row>
    <row r="150" spans="1:2">
      <c r="A150">
        <v>10501013</v>
      </c>
      <c r="B150" t="s">
        <v>825</v>
      </c>
    </row>
    <row r="151" spans="1:2">
      <c r="A151">
        <v>10501014</v>
      </c>
      <c r="B151" t="s">
        <v>826</v>
      </c>
    </row>
    <row r="152" spans="1:2">
      <c r="A152">
        <v>10501015</v>
      </c>
      <c r="B152" t="s">
        <v>827</v>
      </c>
    </row>
    <row r="153" spans="1:2">
      <c r="A153">
        <v>10501016</v>
      </c>
      <c r="B153" t="s">
        <v>828</v>
      </c>
    </row>
    <row r="154" spans="1:2">
      <c r="A154">
        <v>10501017</v>
      </c>
      <c r="B154" t="s">
        <v>829</v>
      </c>
    </row>
    <row r="155" spans="1:2">
      <c r="A155">
        <v>10501018</v>
      </c>
      <c r="B155" t="s">
        <v>830</v>
      </c>
    </row>
    <row r="156" spans="1:2">
      <c r="A156">
        <v>10501019</v>
      </c>
      <c r="B156" t="s">
        <v>831</v>
      </c>
    </row>
    <row r="157" spans="1:2">
      <c r="A157">
        <v>10501020</v>
      </c>
      <c r="B157" t="s">
        <v>832</v>
      </c>
    </row>
    <row r="158" spans="1:2">
      <c r="A158">
        <v>10501021</v>
      </c>
      <c r="B158" t="s">
        <v>833</v>
      </c>
    </row>
    <row r="159" spans="1:2">
      <c r="A159">
        <v>10501022</v>
      </c>
      <c r="B159" t="s">
        <v>834</v>
      </c>
    </row>
    <row r="160" spans="1:2">
      <c r="A160">
        <v>10501023</v>
      </c>
      <c r="B160" t="s">
        <v>835</v>
      </c>
    </row>
    <row r="161" spans="1:2">
      <c r="A161">
        <v>10501024</v>
      </c>
      <c r="B161" t="s">
        <v>836</v>
      </c>
    </row>
    <row r="162" spans="1:2">
      <c r="A162">
        <v>10501025</v>
      </c>
      <c r="B162" t="s">
        <v>837</v>
      </c>
    </row>
    <row r="163" spans="1:2">
      <c r="A163">
        <v>10501110</v>
      </c>
      <c r="B163" t="s">
        <v>847</v>
      </c>
    </row>
    <row r="164" spans="1:2">
      <c r="A164">
        <v>10501111</v>
      </c>
      <c r="B164" t="s">
        <v>848</v>
      </c>
    </row>
    <row r="165" spans="1:2">
      <c r="A165">
        <v>10501112</v>
      </c>
      <c r="B165" t="s">
        <v>849</v>
      </c>
    </row>
    <row r="166" spans="1:2">
      <c r="A166">
        <v>10501113</v>
      </c>
      <c r="B166" t="s">
        <v>850</v>
      </c>
    </row>
    <row r="167" spans="1:2">
      <c r="A167">
        <v>10501114</v>
      </c>
      <c r="B167" t="s">
        <v>851</v>
      </c>
    </row>
    <row r="168" spans="1:2">
      <c r="A168">
        <v>10501115</v>
      </c>
      <c r="B168" t="s">
        <v>852</v>
      </c>
    </row>
    <row r="169" spans="1:2">
      <c r="A169">
        <v>10501116</v>
      </c>
      <c r="B169" t="s">
        <v>853</v>
      </c>
    </row>
    <row r="170" spans="1:2">
      <c r="A170">
        <v>10501117</v>
      </c>
      <c r="B170" t="s">
        <v>854</v>
      </c>
    </row>
    <row r="171" spans="1:2">
      <c r="A171">
        <v>10501118</v>
      </c>
      <c r="B171" t="s">
        <v>855</v>
      </c>
    </row>
    <row r="172" spans="1:2">
      <c r="A172">
        <v>10501119</v>
      </c>
      <c r="B172" t="s">
        <v>856</v>
      </c>
    </row>
    <row r="173" spans="1:2">
      <c r="A173">
        <v>10501120</v>
      </c>
      <c r="B173" t="s">
        <v>857</v>
      </c>
    </row>
    <row r="174" spans="1:2">
      <c r="A174">
        <v>10501121</v>
      </c>
      <c r="B174" t="s">
        <v>858</v>
      </c>
    </row>
    <row r="175" spans="1:2">
      <c r="A175">
        <v>10501122</v>
      </c>
      <c r="B175" t="s">
        <v>859</v>
      </c>
    </row>
    <row r="176" spans="1:2">
      <c r="A176">
        <v>10501123</v>
      </c>
      <c r="B176" t="s">
        <v>860</v>
      </c>
    </row>
    <row r="177" spans="1:2">
      <c r="A177">
        <v>10501124</v>
      </c>
      <c r="B177" t="s">
        <v>861</v>
      </c>
    </row>
    <row r="178" spans="1:2">
      <c r="A178">
        <v>10501125</v>
      </c>
      <c r="B178" t="s">
        <v>862</v>
      </c>
    </row>
    <row r="179" spans="1:2">
      <c r="A179">
        <v>10501210</v>
      </c>
      <c r="B179" t="s">
        <v>872</v>
      </c>
    </row>
    <row r="180" spans="1:2">
      <c r="A180">
        <v>10501211</v>
      </c>
      <c r="B180" t="s">
        <v>873</v>
      </c>
    </row>
    <row r="181" spans="1:2">
      <c r="A181">
        <v>10501212</v>
      </c>
      <c r="B181" t="s">
        <v>874</v>
      </c>
    </row>
    <row r="182" spans="1:2">
      <c r="A182">
        <v>10501213</v>
      </c>
      <c r="B182" t="s">
        <v>875</v>
      </c>
    </row>
    <row r="183" spans="1:2">
      <c r="A183">
        <v>10501214</v>
      </c>
      <c r="B183" t="s">
        <v>876</v>
      </c>
    </row>
    <row r="184" spans="1:2">
      <c r="A184">
        <v>10501215</v>
      </c>
      <c r="B184" t="s">
        <v>877</v>
      </c>
    </row>
    <row r="185" spans="1:2">
      <c r="A185">
        <v>10501216</v>
      </c>
      <c r="B185" t="s">
        <v>878</v>
      </c>
    </row>
    <row r="186" spans="1:2">
      <c r="A186">
        <v>10501217</v>
      </c>
      <c r="B186" t="s">
        <v>879</v>
      </c>
    </row>
    <row r="187" spans="1:2">
      <c r="A187">
        <v>10501218</v>
      </c>
      <c r="B187" t="s">
        <v>880</v>
      </c>
    </row>
    <row r="188" spans="1:2">
      <c r="A188">
        <v>10501219</v>
      </c>
      <c r="B188" t="s">
        <v>881</v>
      </c>
    </row>
    <row r="189" spans="1:2">
      <c r="A189">
        <v>10501220</v>
      </c>
      <c r="B189" t="s">
        <v>882</v>
      </c>
    </row>
    <row r="190" spans="1:2">
      <c r="A190">
        <v>10501221</v>
      </c>
      <c r="B190" t="s">
        <v>883</v>
      </c>
    </row>
    <row r="191" spans="1:2">
      <c r="A191">
        <v>10501222</v>
      </c>
      <c r="B191" t="s">
        <v>884</v>
      </c>
    </row>
    <row r="192" spans="1:2">
      <c r="A192">
        <v>10501223</v>
      </c>
      <c r="B192" t="s">
        <v>885</v>
      </c>
    </row>
    <row r="193" spans="1:2">
      <c r="A193">
        <v>10501224</v>
      </c>
      <c r="B193" t="s">
        <v>886</v>
      </c>
    </row>
    <row r="194" spans="1:2">
      <c r="A194">
        <v>10501225</v>
      </c>
      <c r="B194" t="s">
        <v>887</v>
      </c>
    </row>
    <row r="195" spans="1:2">
      <c r="A195">
        <v>10501310</v>
      </c>
      <c r="B195" t="s">
        <v>897</v>
      </c>
    </row>
    <row r="196" spans="1:2">
      <c r="A196">
        <v>10501311</v>
      </c>
      <c r="B196" t="s">
        <v>898</v>
      </c>
    </row>
    <row r="197" spans="1:2">
      <c r="A197">
        <v>10501312</v>
      </c>
      <c r="B197" t="s">
        <v>899</v>
      </c>
    </row>
    <row r="198" spans="1:2">
      <c r="A198">
        <v>10501313</v>
      </c>
      <c r="B198" t="s">
        <v>900</v>
      </c>
    </row>
    <row r="199" spans="1:2">
      <c r="A199">
        <v>10501314</v>
      </c>
      <c r="B199" t="s">
        <v>901</v>
      </c>
    </row>
    <row r="200" spans="1:2">
      <c r="A200">
        <v>10501315</v>
      </c>
      <c r="B200" t="s">
        <v>902</v>
      </c>
    </row>
    <row r="201" spans="1:2">
      <c r="A201">
        <v>10501316</v>
      </c>
      <c r="B201" t="s">
        <v>903</v>
      </c>
    </row>
    <row r="202" spans="1:2">
      <c r="A202">
        <v>10501317</v>
      </c>
      <c r="B202" t="s">
        <v>904</v>
      </c>
    </row>
    <row r="203" spans="1:2">
      <c r="A203">
        <v>10501318</v>
      </c>
      <c r="B203" t="s">
        <v>905</v>
      </c>
    </row>
    <row r="204" spans="1:2">
      <c r="A204">
        <v>10501319</v>
      </c>
      <c r="B204" t="s">
        <v>906</v>
      </c>
    </row>
    <row r="205" spans="1:2">
      <c r="A205">
        <v>10501320</v>
      </c>
      <c r="B205" t="s">
        <v>907</v>
      </c>
    </row>
    <row r="206" spans="1:2">
      <c r="A206">
        <v>10501321</v>
      </c>
      <c r="B206" t="s">
        <v>908</v>
      </c>
    </row>
    <row r="207" spans="1:2">
      <c r="A207">
        <v>10501322</v>
      </c>
      <c r="B207" t="s">
        <v>909</v>
      </c>
    </row>
    <row r="208" spans="1:2">
      <c r="A208">
        <v>10501323</v>
      </c>
      <c r="B208" t="s">
        <v>910</v>
      </c>
    </row>
    <row r="209" spans="1:2">
      <c r="A209">
        <v>10501324</v>
      </c>
      <c r="B209" t="s">
        <v>911</v>
      </c>
    </row>
    <row r="210" spans="1:2">
      <c r="A210">
        <v>10501325</v>
      </c>
      <c r="B210" t="s">
        <v>912</v>
      </c>
    </row>
    <row r="211" spans="1:2">
      <c r="A211">
        <v>10599928</v>
      </c>
      <c r="B211" t="s">
        <v>940</v>
      </c>
    </row>
    <row r="212" spans="1:2">
      <c r="A212">
        <v>10599929</v>
      </c>
      <c r="B212" t="s">
        <v>941</v>
      </c>
    </row>
    <row r="213" spans="1:2">
      <c r="A213">
        <v>10599930</v>
      </c>
      <c r="B213" t="s">
        <v>942</v>
      </c>
    </row>
    <row r="214" spans="1:2">
      <c r="A214">
        <v>10599931</v>
      </c>
      <c r="B214" t="s">
        <v>943</v>
      </c>
    </row>
    <row r="215" spans="1:2">
      <c r="A215">
        <v>10599932</v>
      </c>
      <c r="B215" t="s">
        <v>944</v>
      </c>
    </row>
    <row r="216" spans="1:2">
      <c r="A216">
        <v>10599933</v>
      </c>
      <c r="B216" t="s">
        <v>945</v>
      </c>
    </row>
    <row r="217" spans="1:2">
      <c r="A217">
        <v>10599934</v>
      </c>
      <c r="B217" t="s">
        <v>946</v>
      </c>
    </row>
    <row r="218" spans="1:2">
      <c r="A218">
        <v>10599935</v>
      </c>
      <c r="B218" t="s">
        <v>947</v>
      </c>
    </row>
    <row r="219" spans="1:2">
      <c r="A219">
        <v>10599936</v>
      </c>
      <c r="B219" t="s">
        <v>948</v>
      </c>
    </row>
    <row r="220" spans="1:2">
      <c r="A220">
        <v>10599937</v>
      </c>
      <c r="B220" t="s">
        <v>949</v>
      </c>
    </row>
    <row r="221" spans="1:2">
      <c r="A221">
        <v>10599938</v>
      </c>
      <c r="B221" t="s">
        <v>950</v>
      </c>
    </row>
    <row r="222" spans="1:2">
      <c r="A222">
        <v>10599939</v>
      </c>
      <c r="B222" t="s">
        <v>951</v>
      </c>
    </row>
    <row r="223" spans="1:2">
      <c r="A223">
        <v>10599940</v>
      </c>
      <c r="B223" t="s">
        <v>952</v>
      </c>
    </row>
    <row r="224" spans="1:2">
      <c r="A224">
        <v>10599941</v>
      </c>
      <c r="B224" t="s">
        <v>953</v>
      </c>
    </row>
    <row r="225" spans="1:2">
      <c r="A225">
        <v>10599942</v>
      </c>
      <c r="B225" t="s">
        <v>954</v>
      </c>
    </row>
    <row r="226" spans="1:2">
      <c r="A226">
        <v>10599943</v>
      </c>
      <c r="B226" t="s">
        <v>955</v>
      </c>
    </row>
    <row r="227" spans="1:2">
      <c r="A227">
        <v>11001401</v>
      </c>
      <c r="B227" t="s">
        <v>956</v>
      </c>
    </row>
    <row r="228" spans="1:2">
      <c r="A228">
        <v>11001402</v>
      </c>
      <c r="B228" t="s">
        <v>957</v>
      </c>
    </row>
    <row r="229" spans="1:2">
      <c r="A229">
        <v>11001403</v>
      </c>
      <c r="B229" t="s">
        <v>958</v>
      </c>
    </row>
    <row r="230" spans="1:2">
      <c r="A230">
        <v>11001404</v>
      </c>
      <c r="B230" t="s">
        <v>959</v>
      </c>
    </row>
    <row r="231" spans="1:2">
      <c r="A231">
        <v>11001405</v>
      </c>
      <c r="B231" t="s">
        <v>960</v>
      </c>
    </row>
    <row r="232" spans="1:2">
      <c r="A232">
        <v>11001406</v>
      </c>
      <c r="B232" t="s">
        <v>961</v>
      </c>
    </row>
    <row r="233" spans="1:2">
      <c r="A233">
        <v>11001407</v>
      </c>
      <c r="B233" t="s">
        <v>962</v>
      </c>
    </row>
    <row r="234" spans="1:2">
      <c r="A234">
        <v>11001408</v>
      </c>
      <c r="B234" t="s">
        <v>963</v>
      </c>
    </row>
    <row r="235" spans="1:2">
      <c r="A235">
        <v>11001501</v>
      </c>
      <c r="B235" t="s">
        <v>964</v>
      </c>
    </row>
    <row r="236" spans="1:2">
      <c r="A236">
        <v>11001502</v>
      </c>
      <c r="B236" t="s">
        <v>965</v>
      </c>
    </row>
    <row r="237" spans="1:2">
      <c r="A237">
        <v>11001503</v>
      </c>
      <c r="B237" t="s">
        <v>966</v>
      </c>
    </row>
    <row r="238" spans="1:2">
      <c r="A238">
        <v>11001504</v>
      </c>
      <c r="B238" t="s">
        <v>967</v>
      </c>
    </row>
    <row r="239" spans="1:2">
      <c r="A239">
        <v>11001601</v>
      </c>
      <c r="B239" t="s">
        <v>968</v>
      </c>
    </row>
    <row r="240" spans="1:2">
      <c r="A240">
        <v>11001602</v>
      </c>
      <c r="B240" t="s">
        <v>969</v>
      </c>
    </row>
    <row r="241" spans="1:2">
      <c r="A241">
        <v>11001603</v>
      </c>
      <c r="B241" t="s">
        <v>2396</v>
      </c>
    </row>
    <row r="242" spans="1:2">
      <c r="A242">
        <v>11001701</v>
      </c>
      <c r="B242" t="s">
        <v>970</v>
      </c>
    </row>
    <row r="243" spans="1:2">
      <c r="A243">
        <v>11001702</v>
      </c>
      <c r="B243" t="s">
        <v>2397</v>
      </c>
    </row>
    <row r="244" spans="1:2">
      <c r="A244">
        <v>11001703</v>
      </c>
      <c r="B244" t="s">
        <v>2398</v>
      </c>
    </row>
    <row r="245" spans="1:2">
      <c r="A245">
        <v>11001801</v>
      </c>
      <c r="B245" t="s">
        <v>971</v>
      </c>
    </row>
    <row r="246" spans="1:2">
      <c r="A246">
        <v>11001802</v>
      </c>
      <c r="B246" t="s">
        <v>2399</v>
      </c>
    </row>
    <row r="247" spans="1:2">
      <c r="A247">
        <v>11001901</v>
      </c>
      <c r="B247" t="s">
        <v>972</v>
      </c>
    </row>
    <row r="248" spans="1:2">
      <c r="A248">
        <v>11002001</v>
      </c>
      <c r="B248" t="s">
        <v>973</v>
      </c>
    </row>
    <row r="249" spans="1:2">
      <c r="A249">
        <v>11002002</v>
      </c>
      <c r="B249" t="s">
        <v>974</v>
      </c>
    </row>
    <row r="250" spans="1:2">
      <c r="A250">
        <v>11002101</v>
      </c>
      <c r="B250" t="s">
        <v>2400</v>
      </c>
    </row>
    <row r="251" spans="1:2">
      <c r="A251">
        <v>11002102</v>
      </c>
      <c r="B251" t="s">
        <v>2401</v>
      </c>
    </row>
    <row r="252" spans="1:2">
      <c r="A252">
        <v>11002103</v>
      </c>
      <c r="B252" t="s">
        <v>2402</v>
      </c>
    </row>
    <row r="253" spans="1:2">
      <c r="A253">
        <v>11007701</v>
      </c>
      <c r="B253" t="s">
        <v>1006</v>
      </c>
    </row>
    <row r="254" spans="1:2">
      <c r="A254">
        <v>11007801</v>
      </c>
      <c r="B254" t="s">
        <v>1007</v>
      </c>
    </row>
    <row r="255" spans="1:2">
      <c r="A255">
        <v>11007901</v>
      </c>
      <c r="B255" t="s">
        <v>1008</v>
      </c>
    </row>
    <row r="256" spans="1:2">
      <c r="A256">
        <v>11002201</v>
      </c>
      <c r="B256" t="s">
        <v>975</v>
      </c>
    </row>
    <row r="257" spans="1:2">
      <c r="A257">
        <v>11002301</v>
      </c>
      <c r="B257" t="s">
        <v>976</v>
      </c>
    </row>
    <row r="258" spans="1:2">
      <c r="A258">
        <v>11002401</v>
      </c>
      <c r="B258" t="s">
        <v>2403</v>
      </c>
    </row>
    <row r="259" spans="1:2">
      <c r="A259">
        <v>11002501</v>
      </c>
      <c r="B259" t="s">
        <v>977</v>
      </c>
    </row>
    <row r="260" spans="1:2">
      <c r="A260">
        <v>11002601</v>
      </c>
      <c r="B260" t="s">
        <v>978</v>
      </c>
    </row>
    <row r="261" spans="1:2">
      <c r="A261">
        <v>11002701</v>
      </c>
      <c r="B261" t="s">
        <v>979</v>
      </c>
    </row>
    <row r="262" spans="1:2">
      <c r="A262">
        <v>11002801</v>
      </c>
      <c r="B262" t="s">
        <v>980</v>
      </c>
    </row>
    <row r="263" spans="1:2">
      <c r="A263">
        <v>11002901</v>
      </c>
      <c r="B263" t="s">
        <v>981</v>
      </c>
    </row>
    <row r="264" spans="1:2">
      <c r="A264">
        <v>11003001</v>
      </c>
      <c r="B264" t="s">
        <v>982</v>
      </c>
    </row>
    <row r="265" spans="1:2">
      <c r="A265">
        <v>11003101</v>
      </c>
      <c r="B265" t="s">
        <v>983</v>
      </c>
    </row>
    <row r="266" spans="1:2">
      <c r="A266">
        <v>11003201</v>
      </c>
      <c r="B266" t="s">
        <v>984</v>
      </c>
    </row>
    <row r="267" spans="1:2">
      <c r="A267">
        <v>11003301</v>
      </c>
      <c r="B267" t="s">
        <v>985</v>
      </c>
    </row>
    <row r="268" spans="1:2">
      <c r="A268">
        <v>11003401</v>
      </c>
      <c r="B268" t="s">
        <v>986</v>
      </c>
    </row>
    <row r="269" spans="1:2">
      <c r="A269">
        <v>11003501</v>
      </c>
      <c r="B269" t="s">
        <v>987</v>
      </c>
    </row>
    <row r="270" spans="1:2">
      <c r="A270">
        <v>11003601</v>
      </c>
      <c r="B270" t="s">
        <v>988</v>
      </c>
    </row>
    <row r="271" spans="1:2">
      <c r="A271">
        <v>11003701</v>
      </c>
      <c r="B271" t="s">
        <v>989</v>
      </c>
    </row>
    <row r="272" spans="1:2">
      <c r="A272">
        <v>11003801</v>
      </c>
      <c r="B272" t="s">
        <v>990</v>
      </c>
    </row>
    <row r="273" spans="1:2">
      <c r="A273">
        <v>11003901</v>
      </c>
      <c r="B273" t="s">
        <v>991</v>
      </c>
    </row>
    <row r="274" spans="1:2">
      <c r="A274">
        <v>11004001</v>
      </c>
      <c r="B274" t="s">
        <v>992</v>
      </c>
    </row>
    <row r="275" spans="1:2">
      <c r="A275">
        <v>11004101</v>
      </c>
      <c r="B275" t="s">
        <v>993</v>
      </c>
    </row>
    <row r="276" spans="1:2">
      <c r="A276">
        <v>11004201</v>
      </c>
      <c r="B276" t="s">
        <v>994</v>
      </c>
    </row>
    <row r="277" spans="1:2">
      <c r="A277">
        <v>11004301</v>
      </c>
      <c r="B277" t="s">
        <v>995</v>
      </c>
    </row>
    <row r="278" spans="1:2">
      <c r="A278">
        <v>11004401</v>
      </c>
      <c r="B278" t="s">
        <v>996</v>
      </c>
    </row>
    <row r="279" spans="1:2">
      <c r="A279">
        <v>11004501</v>
      </c>
      <c r="B279" t="s">
        <v>997</v>
      </c>
    </row>
    <row r="280" spans="1:2">
      <c r="A280">
        <v>11004601</v>
      </c>
      <c r="B280" t="s">
        <v>998</v>
      </c>
    </row>
    <row r="281" spans="1:2">
      <c r="A281">
        <v>11004701</v>
      </c>
      <c r="B281" t="s">
        <v>999</v>
      </c>
    </row>
    <row r="282" spans="1:2">
      <c r="A282">
        <v>11004801</v>
      </c>
      <c r="B282" t="s">
        <v>1000</v>
      </c>
    </row>
    <row r="283" spans="1:2">
      <c r="A283">
        <v>11004802</v>
      </c>
      <c r="B283" t="s">
        <v>1001</v>
      </c>
    </row>
    <row r="284" spans="1:2">
      <c r="A284">
        <v>11004803</v>
      </c>
      <c r="B284" t="s">
        <v>1002</v>
      </c>
    </row>
    <row r="285" spans="1:2">
      <c r="A285">
        <v>11004804</v>
      </c>
      <c r="B285" t="s">
        <v>1003</v>
      </c>
    </row>
    <row r="286" spans="1:2">
      <c r="A286">
        <v>11004901</v>
      </c>
      <c r="B286" t="s">
        <v>1004</v>
      </c>
    </row>
    <row r="287" spans="1:2">
      <c r="A287">
        <v>11005001</v>
      </c>
      <c r="B287" t="s">
        <v>1005</v>
      </c>
    </row>
    <row r="288" spans="1:2">
      <c r="A288">
        <v>11099901</v>
      </c>
      <c r="B288" t="s">
        <v>1009</v>
      </c>
    </row>
    <row r="289" spans="1:2">
      <c r="A289">
        <v>11004901</v>
      </c>
      <c r="B289" t="s">
        <v>2404</v>
      </c>
    </row>
    <row r="290" spans="1:2">
      <c r="A290">
        <v>11004902</v>
      </c>
      <c r="B290" t="s">
        <v>2405</v>
      </c>
    </row>
    <row r="291" spans="1:2">
      <c r="A291">
        <v>11004903</v>
      </c>
      <c r="B291" t="s">
        <v>2406</v>
      </c>
    </row>
    <row r="292" spans="1:2">
      <c r="A292">
        <v>11004904</v>
      </c>
      <c r="B292" t="s">
        <v>2407</v>
      </c>
    </row>
    <row r="293" spans="1:2">
      <c r="A293">
        <v>11004905</v>
      </c>
      <c r="B293" t="s">
        <v>2408</v>
      </c>
    </row>
    <row r="294" spans="1:2">
      <c r="A294">
        <v>11004906</v>
      </c>
      <c r="B294" t="s">
        <v>2409</v>
      </c>
    </row>
    <row r="295" spans="1:2">
      <c r="A295">
        <v>11004907</v>
      </c>
      <c r="B295" t="s">
        <v>2410</v>
      </c>
    </row>
    <row r="296" spans="1:2">
      <c r="A296">
        <v>11004908</v>
      </c>
      <c r="B296" t="s">
        <v>2411</v>
      </c>
    </row>
    <row r="297" spans="1:2">
      <c r="A297">
        <v>11004909</v>
      </c>
      <c r="B297" t="s">
        <v>2412</v>
      </c>
    </row>
    <row r="298" spans="1:2">
      <c r="A298">
        <v>11004910</v>
      </c>
      <c r="B298" t="s">
        <v>2413</v>
      </c>
    </row>
    <row r="299" spans="1:2">
      <c r="A299">
        <v>11004911</v>
      </c>
      <c r="B299" t="s">
        <v>2414</v>
      </c>
    </row>
    <row r="300" spans="1:2">
      <c r="A300">
        <v>11005001</v>
      </c>
      <c r="B300" t="s">
        <v>2415</v>
      </c>
    </row>
    <row r="301" spans="1:2">
      <c r="A301">
        <v>11005002</v>
      </c>
      <c r="B301" t="s">
        <v>2416</v>
      </c>
    </row>
    <row r="302" spans="1:2">
      <c r="A302">
        <v>11005003</v>
      </c>
      <c r="B302" t="s">
        <v>2417</v>
      </c>
    </row>
    <row r="303" spans="1:2">
      <c r="A303">
        <v>11005004</v>
      </c>
      <c r="B303" t="s">
        <v>2418</v>
      </c>
    </row>
    <row r="304" spans="1:2">
      <c r="A304">
        <v>11005005</v>
      </c>
      <c r="B304" t="s">
        <v>2419</v>
      </c>
    </row>
    <row r="305" spans="1:2">
      <c r="A305">
        <v>11005006</v>
      </c>
      <c r="B305" t="s">
        <v>2420</v>
      </c>
    </row>
    <row r="306" spans="1:2">
      <c r="A306">
        <v>11005007</v>
      </c>
      <c r="B306" t="s">
        <v>2421</v>
      </c>
    </row>
    <row r="307" spans="1:2">
      <c r="A307">
        <v>11005008</v>
      </c>
      <c r="B307" t="s">
        <v>2422</v>
      </c>
    </row>
    <row r="308" spans="1:2">
      <c r="A308">
        <v>11005009</v>
      </c>
      <c r="B308" t="s">
        <v>2423</v>
      </c>
    </row>
    <row r="309" spans="1:2">
      <c r="A309">
        <v>11005010</v>
      </c>
      <c r="B309" t="s">
        <v>2424</v>
      </c>
    </row>
    <row r="310" spans="1:2">
      <c r="A310">
        <v>11005011</v>
      </c>
      <c r="B310" t="s">
        <v>2425</v>
      </c>
    </row>
    <row r="311" spans="1:2">
      <c r="A311">
        <v>11099901</v>
      </c>
      <c r="B311" t="s">
        <v>2426</v>
      </c>
    </row>
    <row r="312" spans="1:2">
      <c r="A312">
        <v>11099902</v>
      </c>
      <c r="B312" t="s">
        <v>2427</v>
      </c>
    </row>
    <row r="313" spans="1:2">
      <c r="A313">
        <v>11099903</v>
      </c>
      <c r="B313" t="s">
        <v>2428</v>
      </c>
    </row>
    <row r="314" spans="1:2">
      <c r="A314">
        <v>11099904</v>
      </c>
      <c r="B314" t="s">
        <v>2429</v>
      </c>
    </row>
    <row r="315" spans="1:2">
      <c r="A315">
        <v>11099905</v>
      </c>
      <c r="B315" t="s">
        <v>2430</v>
      </c>
    </row>
    <row r="316" spans="1:2">
      <c r="A316">
        <v>11099912</v>
      </c>
      <c r="B316" t="s">
        <v>2431</v>
      </c>
    </row>
    <row r="317" spans="1:2">
      <c r="A317">
        <v>11099906</v>
      </c>
      <c r="B317" t="s">
        <v>2432</v>
      </c>
    </row>
    <row r="318" spans="1:2">
      <c r="A318">
        <v>11099907</v>
      </c>
      <c r="B318" t="s">
        <v>2433</v>
      </c>
    </row>
    <row r="319" spans="1:2">
      <c r="A319">
        <v>11099908</v>
      </c>
      <c r="B319" t="s">
        <v>2434</v>
      </c>
    </row>
    <row r="320" spans="1:2">
      <c r="A320">
        <v>11099909</v>
      </c>
      <c r="B320" t="s">
        <v>2435</v>
      </c>
    </row>
    <row r="321" spans="1:2">
      <c r="A321">
        <v>11099913</v>
      </c>
      <c r="B321" t="s">
        <v>2436</v>
      </c>
    </row>
    <row r="322" spans="1:2">
      <c r="A322">
        <v>11099914</v>
      </c>
      <c r="B322" t="s">
        <v>2437</v>
      </c>
    </row>
    <row r="323" spans="1:2">
      <c r="A323">
        <v>11099915</v>
      </c>
      <c r="B323" t="s">
        <v>2438</v>
      </c>
    </row>
    <row r="324" spans="1:2">
      <c r="A324">
        <v>11099910</v>
      </c>
      <c r="B324" t="s">
        <v>2439</v>
      </c>
    </row>
    <row r="325" spans="1:2">
      <c r="A325">
        <v>11099911</v>
      </c>
      <c r="B325" t="s">
        <v>2440</v>
      </c>
    </row>
    <row r="326" spans="1:2">
      <c r="A326">
        <v>11099916</v>
      </c>
      <c r="B326" t="s">
        <v>2441</v>
      </c>
    </row>
    <row r="327" spans="1:2">
      <c r="A327">
        <v>11099917</v>
      </c>
      <c r="B327" t="s">
        <v>2442</v>
      </c>
    </row>
    <row r="328" spans="1:2">
      <c r="A328">
        <v>11099918</v>
      </c>
      <c r="B328" t="s">
        <v>2443</v>
      </c>
    </row>
    <row r="329" spans="1:2">
      <c r="A329">
        <v>11505101</v>
      </c>
      <c r="B329" t="s">
        <v>1010</v>
      </c>
    </row>
    <row r="330" spans="1:2">
      <c r="A330">
        <v>11505201</v>
      </c>
      <c r="B330" t="s">
        <v>1011</v>
      </c>
    </row>
    <row r="331" spans="1:2">
      <c r="A331">
        <v>11505301</v>
      </c>
      <c r="B331" t="s">
        <v>1012</v>
      </c>
    </row>
    <row r="332" spans="1:2">
      <c r="A332">
        <v>11505401</v>
      </c>
      <c r="B332" t="s">
        <v>1013</v>
      </c>
    </row>
    <row r="333" spans="1:2">
      <c r="A333">
        <v>11508001</v>
      </c>
      <c r="B333" t="s">
        <v>2444</v>
      </c>
    </row>
    <row r="334" spans="1:2">
      <c r="A334">
        <v>12005501</v>
      </c>
      <c r="B334" t="s">
        <v>1014</v>
      </c>
    </row>
    <row r="335" spans="1:2">
      <c r="A335">
        <v>12005601</v>
      </c>
      <c r="B335" t="s">
        <v>1015</v>
      </c>
    </row>
    <row r="336" spans="1:2">
      <c r="A336">
        <v>12005602</v>
      </c>
      <c r="B336" t="s">
        <v>1016</v>
      </c>
    </row>
    <row r="337" spans="1:2">
      <c r="A337">
        <v>12005603</v>
      </c>
      <c r="B337" t="s">
        <v>1017</v>
      </c>
    </row>
    <row r="338" spans="1:2">
      <c r="A338">
        <v>12005604</v>
      </c>
      <c r="B338" t="s">
        <v>1018</v>
      </c>
    </row>
    <row r="339" spans="1:2">
      <c r="A339">
        <v>12005701</v>
      </c>
      <c r="B339" t="s">
        <v>1019</v>
      </c>
    </row>
    <row r="340" spans="1:2">
      <c r="A340">
        <v>12005702</v>
      </c>
      <c r="B340" t="s">
        <v>1020</v>
      </c>
    </row>
    <row r="341" spans="1:2">
      <c r="A341">
        <v>12005703</v>
      </c>
      <c r="B341" t="s">
        <v>1021</v>
      </c>
    </row>
    <row r="342" spans="1:2">
      <c r="A342">
        <v>12005801</v>
      </c>
      <c r="B342" t="s">
        <v>1022</v>
      </c>
    </row>
    <row r="343" spans="1:2">
      <c r="A343">
        <v>12099901</v>
      </c>
      <c r="B343" t="s">
        <v>1023</v>
      </c>
    </row>
    <row r="344" spans="1:2">
      <c r="A344">
        <v>12099902</v>
      </c>
      <c r="B344" t="s">
        <v>1024</v>
      </c>
    </row>
    <row r="345" spans="1:2">
      <c r="A345">
        <v>12505901</v>
      </c>
      <c r="B345" t="s">
        <v>1025</v>
      </c>
    </row>
    <row r="346" spans="1:2">
      <c r="A346">
        <v>12505902</v>
      </c>
      <c r="B346" t="s">
        <v>1026</v>
      </c>
    </row>
    <row r="347" spans="1:2">
      <c r="A347">
        <v>12505903</v>
      </c>
      <c r="B347" t="s">
        <v>1027</v>
      </c>
    </row>
    <row r="348" spans="1:2">
      <c r="A348">
        <v>12505904</v>
      </c>
      <c r="B348" t="s">
        <v>1028</v>
      </c>
    </row>
    <row r="349" spans="1:2">
      <c r="A349">
        <v>12505905</v>
      </c>
      <c r="B349" t="s">
        <v>1029</v>
      </c>
    </row>
    <row r="350" spans="1:2">
      <c r="A350">
        <v>12505906</v>
      </c>
      <c r="B350" t="s">
        <v>1030</v>
      </c>
    </row>
    <row r="351" spans="1:2">
      <c r="A351">
        <v>12505907</v>
      </c>
      <c r="B351" t="s">
        <v>1031</v>
      </c>
    </row>
    <row r="352" spans="1:2">
      <c r="A352">
        <v>12505908</v>
      </c>
      <c r="B352" t="s">
        <v>1032</v>
      </c>
    </row>
    <row r="353" spans="1:2">
      <c r="A353">
        <v>12505909</v>
      </c>
      <c r="B353" t="s">
        <v>1033</v>
      </c>
    </row>
    <row r="354" spans="1:2">
      <c r="A354">
        <v>12505910</v>
      </c>
      <c r="B354" t="s">
        <v>1034</v>
      </c>
    </row>
    <row r="355" spans="1:2">
      <c r="A355">
        <v>12505911</v>
      </c>
      <c r="B355" t="s">
        <v>1035</v>
      </c>
    </row>
    <row r="356" spans="1:2">
      <c r="A356">
        <v>12505912</v>
      </c>
      <c r="B356" t="s">
        <v>1036</v>
      </c>
    </row>
    <row r="357" spans="1:2">
      <c r="A357">
        <v>12505913</v>
      </c>
      <c r="B357" t="s">
        <v>1037</v>
      </c>
    </row>
    <row r="358" spans="1:2">
      <c r="A358">
        <v>12505914</v>
      </c>
      <c r="B358" t="s">
        <v>1038</v>
      </c>
    </row>
    <row r="359" spans="1:2">
      <c r="A359">
        <v>12505915</v>
      </c>
      <c r="B359" t="s">
        <v>1039</v>
      </c>
    </row>
    <row r="360" spans="1:2">
      <c r="A360">
        <v>12505916</v>
      </c>
      <c r="B360" t="s">
        <v>1040</v>
      </c>
    </row>
    <row r="361" spans="1:2">
      <c r="A361">
        <v>12505917</v>
      </c>
      <c r="B361" t="s">
        <v>1041</v>
      </c>
    </row>
    <row r="362" spans="1:2">
      <c r="A362">
        <v>12505918</v>
      </c>
      <c r="B362" t="s">
        <v>1042</v>
      </c>
    </row>
    <row r="363" spans="1:2">
      <c r="A363">
        <v>12505919</v>
      </c>
      <c r="B363" t="s">
        <v>1043</v>
      </c>
    </row>
    <row r="364" spans="1:2">
      <c r="A364">
        <v>12505920</v>
      </c>
      <c r="B364" t="s">
        <v>1044</v>
      </c>
    </row>
    <row r="365" spans="1:2">
      <c r="A365">
        <v>12505921</v>
      </c>
      <c r="B365" t="s">
        <v>1045</v>
      </c>
    </row>
    <row r="366" spans="1:2">
      <c r="A366">
        <v>12505922</v>
      </c>
      <c r="B366" t="s">
        <v>1046</v>
      </c>
    </row>
    <row r="367" spans="1:2">
      <c r="A367">
        <v>12505923</v>
      </c>
      <c r="B367" t="s">
        <v>1047</v>
      </c>
    </row>
    <row r="368" spans="1:2">
      <c r="A368">
        <v>12505924</v>
      </c>
      <c r="B368" t="s">
        <v>1048</v>
      </c>
    </row>
    <row r="369" spans="1:2">
      <c r="A369">
        <v>12505925</v>
      </c>
      <c r="B369" t="s">
        <v>1049</v>
      </c>
    </row>
    <row r="370" spans="1:2">
      <c r="A370">
        <v>12505926</v>
      </c>
      <c r="B370" t="s">
        <v>1050</v>
      </c>
    </row>
    <row r="371" spans="1:2">
      <c r="A371">
        <v>12505927</v>
      </c>
      <c r="B371" t="s">
        <v>1051</v>
      </c>
    </row>
    <row r="372" spans="1:2">
      <c r="A372">
        <v>12505928</v>
      </c>
      <c r="B372" t="s">
        <v>1052</v>
      </c>
    </row>
    <row r="373" spans="1:2">
      <c r="A373">
        <v>12505929</v>
      </c>
      <c r="B373" t="s">
        <v>1053</v>
      </c>
    </row>
    <row r="374" spans="1:2">
      <c r="A374">
        <v>12505930</v>
      </c>
      <c r="B374" t="s">
        <v>1054</v>
      </c>
    </row>
    <row r="375" spans="1:2">
      <c r="A375">
        <v>12505931</v>
      </c>
      <c r="B375" t="s">
        <v>1055</v>
      </c>
    </row>
    <row r="376" spans="1:2">
      <c r="A376">
        <v>12505932</v>
      </c>
      <c r="B376" t="s">
        <v>1056</v>
      </c>
    </row>
    <row r="377" spans="1:2">
      <c r="A377">
        <v>12505933</v>
      </c>
      <c r="B377" t="s">
        <v>1057</v>
      </c>
    </row>
    <row r="378" spans="1:2">
      <c r="A378">
        <v>12505934</v>
      </c>
      <c r="B378" t="s">
        <v>1058</v>
      </c>
    </row>
    <row r="379" spans="1:2">
      <c r="A379">
        <v>12505935</v>
      </c>
      <c r="B379" t="s">
        <v>1059</v>
      </c>
    </row>
    <row r="380" spans="1:2">
      <c r="A380">
        <v>12505936</v>
      </c>
      <c r="B380" t="s">
        <v>1060</v>
      </c>
    </row>
    <row r="381" spans="1:2">
      <c r="A381">
        <v>12505937</v>
      </c>
      <c r="B381" t="s">
        <v>1061</v>
      </c>
    </row>
    <row r="382" spans="1:2">
      <c r="A382">
        <v>12505938</v>
      </c>
      <c r="B382" t="s">
        <v>1062</v>
      </c>
    </row>
    <row r="383" spans="1:2">
      <c r="A383">
        <v>12505939</v>
      </c>
      <c r="B383" t="s">
        <v>1063</v>
      </c>
    </row>
    <row r="384" spans="1:2">
      <c r="A384">
        <v>12505940</v>
      </c>
      <c r="B384" t="s">
        <v>1064</v>
      </c>
    </row>
    <row r="385" spans="1:2">
      <c r="A385">
        <v>12505941</v>
      </c>
      <c r="B385" t="s">
        <v>1065</v>
      </c>
    </row>
    <row r="386" spans="1:2">
      <c r="A386">
        <v>12505942</v>
      </c>
      <c r="B386" t="s">
        <v>1066</v>
      </c>
    </row>
    <row r="387" spans="1:2">
      <c r="A387">
        <v>12505943</v>
      </c>
      <c r="B387" t="s">
        <v>1067</v>
      </c>
    </row>
    <row r="388" spans="1:2">
      <c r="A388">
        <v>12505944</v>
      </c>
      <c r="B388" t="s">
        <v>1068</v>
      </c>
    </row>
    <row r="389" spans="1:2">
      <c r="A389">
        <v>12505945</v>
      </c>
      <c r="B389" t="s">
        <v>1069</v>
      </c>
    </row>
    <row r="390" spans="1:2">
      <c r="A390">
        <v>12505946</v>
      </c>
      <c r="B390" t="s">
        <v>1070</v>
      </c>
    </row>
    <row r="391" spans="1:2">
      <c r="A391">
        <v>12505947</v>
      </c>
      <c r="B391" t="s">
        <v>1071</v>
      </c>
    </row>
    <row r="392" spans="1:2">
      <c r="A392">
        <v>12505948</v>
      </c>
      <c r="B392" t="s">
        <v>1072</v>
      </c>
    </row>
    <row r="393" spans="1:2">
      <c r="A393">
        <v>12505949</v>
      </c>
      <c r="B393" t="s">
        <v>1073</v>
      </c>
    </row>
    <row r="394" spans="1:2">
      <c r="A394">
        <v>12505950</v>
      </c>
      <c r="B394" t="s">
        <v>1074</v>
      </c>
    </row>
    <row r="395" spans="1:2">
      <c r="A395">
        <v>12505951</v>
      </c>
      <c r="B395" t="s">
        <v>1075</v>
      </c>
    </row>
    <row r="396" spans="1:2">
      <c r="A396">
        <v>12505952</v>
      </c>
      <c r="B396" t="s">
        <v>1076</v>
      </c>
    </row>
    <row r="397" spans="1:2">
      <c r="A397">
        <v>12505953</v>
      </c>
      <c r="B397" t="s">
        <v>1077</v>
      </c>
    </row>
    <row r="398" spans="1:2">
      <c r="A398">
        <v>12505954</v>
      </c>
      <c r="B398" t="s">
        <v>1078</v>
      </c>
    </row>
    <row r="399" spans="1:2">
      <c r="A399">
        <v>12505955</v>
      </c>
      <c r="B399" t="s">
        <v>1079</v>
      </c>
    </row>
    <row r="400" spans="1:2">
      <c r="A400">
        <v>12505956</v>
      </c>
      <c r="B400" t="s">
        <v>1080</v>
      </c>
    </row>
    <row r="401" spans="1:2">
      <c r="A401">
        <v>12505957</v>
      </c>
      <c r="B401" t="s">
        <v>1081</v>
      </c>
    </row>
    <row r="402" spans="1:2">
      <c r="A402">
        <v>12505958</v>
      </c>
      <c r="B402" t="s">
        <v>1082</v>
      </c>
    </row>
    <row r="403" spans="1:2">
      <c r="A403">
        <v>12505959</v>
      </c>
      <c r="B403" t="s">
        <v>1083</v>
      </c>
    </row>
    <row r="404" spans="1:2">
      <c r="A404">
        <v>12505960</v>
      </c>
      <c r="B404" t="s">
        <v>1084</v>
      </c>
    </row>
    <row r="405" spans="1:2">
      <c r="A405">
        <v>12505961</v>
      </c>
      <c r="B405" t="s">
        <v>1085</v>
      </c>
    </row>
    <row r="406" spans="1:2">
      <c r="A406">
        <v>12505962</v>
      </c>
      <c r="B406" t="s">
        <v>1086</v>
      </c>
    </row>
    <row r="407" spans="1:2">
      <c r="A407">
        <v>12505963</v>
      </c>
      <c r="B407" t="s">
        <v>1087</v>
      </c>
    </row>
    <row r="408" spans="1:2">
      <c r="A408">
        <v>12505964</v>
      </c>
      <c r="B408" t="s">
        <v>1088</v>
      </c>
    </row>
    <row r="409" spans="1:2">
      <c r="A409">
        <v>12505965</v>
      </c>
      <c r="B409" t="s">
        <v>1089</v>
      </c>
    </row>
    <row r="410" spans="1:2">
      <c r="A410">
        <v>12505966</v>
      </c>
      <c r="B410" t="s">
        <v>1090</v>
      </c>
    </row>
    <row r="411" spans="1:2">
      <c r="A411">
        <v>12505967</v>
      </c>
      <c r="B411" t="s">
        <v>1091</v>
      </c>
    </row>
    <row r="412" spans="1:2">
      <c r="A412">
        <v>12505968</v>
      </c>
      <c r="B412" t="s">
        <v>1092</v>
      </c>
    </row>
    <row r="413" spans="1:2">
      <c r="A413">
        <v>12505969</v>
      </c>
      <c r="B413" t="s">
        <v>1093</v>
      </c>
    </row>
    <row r="414" spans="1:2">
      <c r="A414">
        <v>12505970</v>
      </c>
      <c r="B414" t="s">
        <v>1094</v>
      </c>
    </row>
    <row r="415" spans="1:2">
      <c r="A415">
        <v>12505971</v>
      </c>
      <c r="B415" t="s">
        <v>1095</v>
      </c>
    </row>
    <row r="416" spans="1:2">
      <c r="A416">
        <v>12505972</v>
      </c>
      <c r="B416" t="s">
        <v>1096</v>
      </c>
    </row>
    <row r="417" spans="1:2">
      <c r="A417">
        <v>12505973</v>
      </c>
      <c r="B417" t="s">
        <v>1097</v>
      </c>
    </row>
    <row r="418" spans="1:2">
      <c r="A418">
        <v>12505974</v>
      </c>
      <c r="B418" t="s">
        <v>1098</v>
      </c>
    </row>
    <row r="419" spans="1:2">
      <c r="A419">
        <v>12505975</v>
      </c>
      <c r="B419" t="s">
        <v>1099</v>
      </c>
    </row>
    <row r="420" spans="1:2">
      <c r="A420">
        <v>12505976</v>
      </c>
      <c r="B420" t="s">
        <v>1100</v>
      </c>
    </row>
    <row r="421" spans="1:2">
      <c r="A421">
        <v>12505977</v>
      </c>
      <c r="B421" t="s">
        <v>1101</v>
      </c>
    </row>
    <row r="422" spans="1:2">
      <c r="A422">
        <v>12505978</v>
      </c>
      <c r="B422" t="s">
        <v>1102</v>
      </c>
    </row>
    <row r="423" spans="1:2">
      <c r="A423">
        <v>12505979</v>
      </c>
      <c r="B423" t="s">
        <v>1103</v>
      </c>
    </row>
    <row r="424" spans="1:2">
      <c r="A424">
        <v>12505980</v>
      </c>
      <c r="B424" t="s">
        <v>1104</v>
      </c>
    </row>
    <row r="425" spans="1:2">
      <c r="A425">
        <v>12505981</v>
      </c>
      <c r="B425" t="s">
        <v>1105</v>
      </c>
    </row>
    <row r="426" spans="1:2">
      <c r="A426">
        <v>12505982</v>
      </c>
      <c r="B426" t="s">
        <v>1106</v>
      </c>
    </row>
    <row r="427" spans="1:2">
      <c r="A427">
        <v>12505983</v>
      </c>
      <c r="B427" t="s">
        <v>1107</v>
      </c>
    </row>
    <row r="428" spans="1:2">
      <c r="A428">
        <v>12505984</v>
      </c>
      <c r="B428" t="s">
        <v>1108</v>
      </c>
    </row>
    <row r="429" spans="1:2">
      <c r="A429">
        <v>12505985</v>
      </c>
      <c r="B429" t="s">
        <v>1109</v>
      </c>
    </row>
    <row r="430" spans="1:2">
      <c r="A430">
        <v>12505986</v>
      </c>
      <c r="B430" t="s">
        <v>1110</v>
      </c>
    </row>
    <row r="431" spans="1:2">
      <c r="A431">
        <v>12505987</v>
      </c>
      <c r="B431" t="s">
        <v>1111</v>
      </c>
    </row>
    <row r="432" spans="1:2">
      <c r="A432">
        <v>12505988</v>
      </c>
      <c r="B432" t="s">
        <v>1112</v>
      </c>
    </row>
    <row r="433" spans="1:2">
      <c r="A433">
        <v>12505989</v>
      </c>
      <c r="B433" t="s">
        <v>1113</v>
      </c>
    </row>
    <row r="434" spans="1:2">
      <c r="A434">
        <v>12505990</v>
      </c>
      <c r="B434" t="s">
        <v>1114</v>
      </c>
    </row>
    <row r="435" spans="1:2">
      <c r="A435">
        <v>12505991</v>
      </c>
      <c r="B435" t="s">
        <v>1115</v>
      </c>
    </row>
    <row r="436" spans="1:2">
      <c r="A436">
        <v>12505992</v>
      </c>
      <c r="B436" t="s">
        <v>2445</v>
      </c>
    </row>
    <row r="437" spans="1:2">
      <c r="A437">
        <v>12505993</v>
      </c>
      <c r="B437" t="s">
        <v>2446</v>
      </c>
    </row>
    <row r="438" spans="1:2">
      <c r="A438">
        <v>12505994</v>
      </c>
      <c r="B438" t="s">
        <v>2447</v>
      </c>
    </row>
    <row r="439" spans="1:2">
      <c r="A439">
        <v>12506001</v>
      </c>
      <c r="B439" t="s">
        <v>1116</v>
      </c>
    </row>
    <row r="440" spans="1:2">
      <c r="A440">
        <v>12506002</v>
      </c>
      <c r="B440" t="s">
        <v>1117</v>
      </c>
    </row>
    <row r="441" spans="1:2">
      <c r="A441">
        <v>12506003</v>
      </c>
      <c r="B441" t="s">
        <v>1118</v>
      </c>
    </row>
    <row r="442" spans="1:2">
      <c r="A442">
        <v>12506004</v>
      </c>
      <c r="B442" t="s">
        <v>1119</v>
      </c>
    </row>
    <row r="443" spans="1:2">
      <c r="A443">
        <v>12506005</v>
      </c>
      <c r="B443" t="s">
        <v>1120</v>
      </c>
    </row>
    <row r="444" spans="1:2">
      <c r="A444">
        <v>12506006</v>
      </c>
      <c r="B444" t="s">
        <v>1121</v>
      </c>
    </row>
    <row r="445" spans="1:2">
      <c r="A445">
        <v>12506007</v>
      </c>
      <c r="B445" t="s">
        <v>1122</v>
      </c>
    </row>
    <row r="446" spans="1:2">
      <c r="A446">
        <v>12506008</v>
      </c>
      <c r="B446" t="s">
        <v>1123</v>
      </c>
    </row>
    <row r="447" spans="1:2">
      <c r="A447">
        <v>12506009</v>
      </c>
      <c r="B447" t="s">
        <v>1124</v>
      </c>
    </row>
    <row r="448" spans="1:2">
      <c r="A448">
        <v>12506010</v>
      </c>
      <c r="B448" t="s">
        <v>1125</v>
      </c>
    </row>
    <row r="449" spans="1:2">
      <c r="A449">
        <v>12506011</v>
      </c>
      <c r="B449" t="s">
        <v>1126</v>
      </c>
    </row>
    <row r="450" spans="1:2">
      <c r="A450">
        <v>12506012</v>
      </c>
      <c r="B450" t="s">
        <v>1127</v>
      </c>
    </row>
    <row r="451" spans="1:2">
      <c r="A451">
        <v>12506013</v>
      </c>
      <c r="B451" t="s">
        <v>1128</v>
      </c>
    </row>
    <row r="452" spans="1:2">
      <c r="A452">
        <v>12506014</v>
      </c>
      <c r="B452" t="s">
        <v>1129</v>
      </c>
    </row>
    <row r="453" spans="1:2">
      <c r="A453">
        <v>12506015</v>
      </c>
      <c r="B453" t="s">
        <v>2448</v>
      </c>
    </row>
    <row r="454" spans="1:2">
      <c r="A454">
        <v>13006101</v>
      </c>
      <c r="B454" t="s">
        <v>1130</v>
      </c>
    </row>
    <row r="455" spans="1:2">
      <c r="A455">
        <v>13006102</v>
      </c>
      <c r="B455" t="s">
        <v>1131</v>
      </c>
    </row>
    <row r="456" spans="1:2">
      <c r="A456">
        <v>13006103</v>
      </c>
      <c r="B456" t="s">
        <v>1132</v>
      </c>
    </row>
    <row r="457" spans="1:2">
      <c r="A457">
        <v>13006104</v>
      </c>
      <c r="B457" t="s">
        <v>1133</v>
      </c>
    </row>
    <row r="458" spans="1:2">
      <c r="A458">
        <v>13006105</v>
      </c>
      <c r="B458" t="s">
        <v>1134</v>
      </c>
    </row>
    <row r="459" spans="1:2">
      <c r="A459">
        <v>13006106</v>
      </c>
      <c r="B459" t="s">
        <v>1135</v>
      </c>
    </row>
    <row r="460" spans="1:2">
      <c r="A460">
        <v>13506201</v>
      </c>
      <c r="B460" t="s">
        <v>1136</v>
      </c>
    </row>
    <row r="461" spans="1:2">
      <c r="A461">
        <v>14006301</v>
      </c>
      <c r="B461" t="s">
        <v>1137</v>
      </c>
    </row>
    <row r="462" spans="1:2">
      <c r="A462">
        <v>14006401</v>
      </c>
      <c r="B462" t="s">
        <v>1138</v>
      </c>
    </row>
    <row r="463" spans="1:2">
      <c r="A463">
        <v>14006501</v>
      </c>
      <c r="B463" t="s">
        <v>1139</v>
      </c>
    </row>
    <row r="464" spans="1:2">
      <c r="A464">
        <v>14006601</v>
      </c>
      <c r="B464" t="s">
        <v>1140</v>
      </c>
    </row>
    <row r="465" spans="1:2">
      <c r="A465">
        <v>14006701</v>
      </c>
      <c r="B465" t="s">
        <v>1141</v>
      </c>
    </row>
    <row r="466" spans="1:2">
      <c r="A466">
        <v>14006801</v>
      </c>
      <c r="B466" t="s">
        <v>1142</v>
      </c>
    </row>
    <row r="467" spans="1:2">
      <c r="A467">
        <v>14099901</v>
      </c>
      <c r="B467" t="s">
        <v>1143</v>
      </c>
    </row>
    <row r="468" spans="1:2">
      <c r="A468">
        <v>14506901</v>
      </c>
      <c r="B468" t="s">
        <v>1144</v>
      </c>
    </row>
    <row r="469" spans="1:2">
      <c r="A469">
        <v>14506902</v>
      </c>
      <c r="B469" t="s">
        <v>1145</v>
      </c>
    </row>
    <row r="470" spans="1:2">
      <c r="A470">
        <v>14506903</v>
      </c>
      <c r="B470" t="s">
        <v>1146</v>
      </c>
    </row>
    <row r="471" spans="1:2">
      <c r="A471">
        <v>14506904</v>
      </c>
      <c r="B471" t="s">
        <v>1147</v>
      </c>
    </row>
    <row r="472" spans="1:2">
      <c r="A472">
        <v>14506905</v>
      </c>
      <c r="B472" t="s">
        <v>1148</v>
      </c>
    </row>
    <row r="473" spans="1:2">
      <c r="A473">
        <v>14506906</v>
      </c>
      <c r="B473" t="s">
        <v>1149</v>
      </c>
    </row>
    <row r="474" spans="1:2">
      <c r="A474">
        <v>14506907</v>
      </c>
      <c r="B474" t="s">
        <v>1150</v>
      </c>
    </row>
    <row r="475" spans="1:2">
      <c r="A475">
        <v>14506908</v>
      </c>
      <c r="B475" t="s">
        <v>1151</v>
      </c>
    </row>
    <row r="476" spans="1:2">
      <c r="A476">
        <v>14506909</v>
      </c>
      <c r="B476" t="s">
        <v>1152</v>
      </c>
    </row>
    <row r="477" spans="1:2">
      <c r="A477">
        <v>14507001</v>
      </c>
      <c r="B477" t="s">
        <v>1169</v>
      </c>
    </row>
    <row r="478" spans="1:2">
      <c r="A478">
        <v>14507002</v>
      </c>
      <c r="B478" t="s">
        <v>1170</v>
      </c>
    </row>
    <row r="479" spans="1:2">
      <c r="A479">
        <v>14507003</v>
      </c>
      <c r="B479" t="s">
        <v>1171</v>
      </c>
    </row>
    <row r="480" spans="1:2">
      <c r="A480">
        <v>14507004</v>
      </c>
      <c r="B480" t="s">
        <v>1172</v>
      </c>
    </row>
    <row r="481" spans="1:2">
      <c r="A481">
        <v>14507005</v>
      </c>
      <c r="B481" t="s">
        <v>1173</v>
      </c>
    </row>
    <row r="482" spans="1:2">
      <c r="A482">
        <v>14507006</v>
      </c>
      <c r="B482" t="s">
        <v>1174</v>
      </c>
    </row>
    <row r="483" spans="1:2">
      <c r="A483">
        <v>14507007</v>
      </c>
      <c r="B483" t="s">
        <v>1175</v>
      </c>
    </row>
    <row r="484" spans="1:2">
      <c r="A484">
        <v>14507008</v>
      </c>
      <c r="B484" t="s">
        <v>1176</v>
      </c>
    </row>
    <row r="485" spans="1:2">
      <c r="A485">
        <v>14507009</v>
      </c>
      <c r="B485" t="s">
        <v>1177</v>
      </c>
    </row>
    <row r="486" spans="1:2">
      <c r="A486">
        <v>14507101</v>
      </c>
      <c r="B486" t="s">
        <v>1194</v>
      </c>
    </row>
    <row r="487" spans="1:2">
      <c r="A487">
        <v>14507102</v>
      </c>
      <c r="B487" t="s">
        <v>1195</v>
      </c>
    </row>
    <row r="488" spans="1:2">
      <c r="A488">
        <v>14507103</v>
      </c>
      <c r="B488" t="s">
        <v>1196</v>
      </c>
    </row>
    <row r="489" spans="1:2">
      <c r="A489">
        <v>14507104</v>
      </c>
      <c r="B489" t="s">
        <v>1197</v>
      </c>
    </row>
    <row r="490" spans="1:2">
      <c r="A490">
        <v>14507105</v>
      </c>
      <c r="B490" t="s">
        <v>1198</v>
      </c>
    </row>
    <row r="491" spans="1:2">
      <c r="A491">
        <v>14507106</v>
      </c>
      <c r="B491" t="s">
        <v>1199</v>
      </c>
    </row>
    <row r="492" spans="1:2">
      <c r="A492">
        <v>14507107</v>
      </c>
      <c r="B492" t="s">
        <v>1200</v>
      </c>
    </row>
    <row r="493" spans="1:2">
      <c r="A493">
        <v>14507108</v>
      </c>
      <c r="B493" t="s">
        <v>1201</v>
      </c>
    </row>
    <row r="494" spans="1:2">
      <c r="A494">
        <v>14507109</v>
      </c>
      <c r="B494" t="s">
        <v>1202</v>
      </c>
    </row>
    <row r="495" spans="1:2">
      <c r="A495">
        <v>14507201</v>
      </c>
      <c r="B495" t="s">
        <v>1219</v>
      </c>
    </row>
    <row r="496" spans="1:2">
      <c r="A496">
        <v>14507202</v>
      </c>
      <c r="B496" t="s">
        <v>1220</v>
      </c>
    </row>
    <row r="497" spans="1:2">
      <c r="A497">
        <v>14507203</v>
      </c>
      <c r="B497" t="s">
        <v>1221</v>
      </c>
    </row>
    <row r="498" spans="1:2">
      <c r="A498">
        <v>14507204</v>
      </c>
      <c r="B498" t="s">
        <v>1222</v>
      </c>
    </row>
    <row r="499" spans="1:2">
      <c r="A499">
        <v>14507205</v>
      </c>
      <c r="B499" t="s">
        <v>1223</v>
      </c>
    </row>
    <row r="500" spans="1:2">
      <c r="A500">
        <v>14507206</v>
      </c>
      <c r="B500" t="s">
        <v>1224</v>
      </c>
    </row>
    <row r="501" spans="1:2">
      <c r="A501">
        <v>14507207</v>
      </c>
      <c r="B501" t="s">
        <v>1225</v>
      </c>
    </row>
    <row r="502" spans="1:2">
      <c r="A502">
        <v>14507208</v>
      </c>
      <c r="B502" t="s">
        <v>1226</v>
      </c>
    </row>
    <row r="503" spans="1:2">
      <c r="A503">
        <v>14507209</v>
      </c>
      <c r="B503" t="s">
        <v>1227</v>
      </c>
    </row>
    <row r="504" spans="1:2">
      <c r="A504">
        <v>14507301</v>
      </c>
      <c r="B504" t="s">
        <v>1244</v>
      </c>
    </row>
    <row r="505" spans="1:2">
      <c r="A505">
        <v>14507302</v>
      </c>
      <c r="B505" t="s">
        <v>1245</v>
      </c>
    </row>
    <row r="506" spans="1:2">
      <c r="A506">
        <v>14507303</v>
      </c>
      <c r="B506" t="s">
        <v>1246</v>
      </c>
    </row>
    <row r="507" spans="1:2">
      <c r="A507">
        <v>14507304</v>
      </c>
      <c r="B507" t="s">
        <v>1247</v>
      </c>
    </row>
    <row r="508" spans="1:2">
      <c r="A508">
        <v>14507305</v>
      </c>
      <c r="B508" t="s">
        <v>1248</v>
      </c>
    </row>
    <row r="509" spans="1:2">
      <c r="A509">
        <v>14507306</v>
      </c>
      <c r="B509" t="s">
        <v>1249</v>
      </c>
    </row>
    <row r="510" spans="1:2">
      <c r="A510">
        <v>14507307</v>
      </c>
      <c r="B510" t="s">
        <v>1250</v>
      </c>
    </row>
    <row r="511" spans="1:2">
      <c r="A511">
        <v>14507308</v>
      </c>
      <c r="B511" t="s">
        <v>1251</v>
      </c>
    </row>
    <row r="512" spans="1:2">
      <c r="A512">
        <v>14507309</v>
      </c>
      <c r="B512" t="s">
        <v>1252</v>
      </c>
    </row>
    <row r="513" spans="1:2">
      <c r="A513">
        <v>14507401</v>
      </c>
      <c r="B513" t="s">
        <v>1269</v>
      </c>
    </row>
    <row r="514" spans="1:2">
      <c r="A514">
        <v>14507402</v>
      </c>
      <c r="B514" t="s">
        <v>1270</v>
      </c>
    </row>
    <row r="515" spans="1:2">
      <c r="A515">
        <v>14507403</v>
      </c>
      <c r="B515" t="s">
        <v>1271</v>
      </c>
    </row>
    <row r="516" spans="1:2">
      <c r="A516">
        <v>14507404</v>
      </c>
      <c r="B516" t="s">
        <v>1272</v>
      </c>
    </row>
    <row r="517" spans="1:2">
      <c r="A517">
        <v>14507405</v>
      </c>
      <c r="B517" t="s">
        <v>1273</v>
      </c>
    </row>
    <row r="518" spans="1:2">
      <c r="A518">
        <v>14507406</v>
      </c>
      <c r="B518" t="s">
        <v>1274</v>
      </c>
    </row>
    <row r="519" spans="1:2">
      <c r="A519">
        <v>14507407</v>
      </c>
      <c r="B519" t="s">
        <v>1275</v>
      </c>
    </row>
    <row r="520" spans="1:2">
      <c r="A520">
        <v>14507408</v>
      </c>
      <c r="B520" t="s">
        <v>1276</v>
      </c>
    </row>
    <row r="521" spans="1:2">
      <c r="A521">
        <v>14507409</v>
      </c>
      <c r="B521" t="s">
        <v>1277</v>
      </c>
    </row>
    <row r="522" spans="1:2">
      <c r="A522">
        <v>14507501</v>
      </c>
      <c r="B522" t="s">
        <v>1294</v>
      </c>
    </row>
    <row r="523" spans="1:2">
      <c r="A523">
        <v>14507502</v>
      </c>
      <c r="B523" t="s">
        <v>1295</v>
      </c>
    </row>
    <row r="524" spans="1:2">
      <c r="A524">
        <v>14507503</v>
      </c>
      <c r="B524" t="s">
        <v>1296</v>
      </c>
    </row>
    <row r="525" spans="1:2">
      <c r="A525">
        <v>14507504</v>
      </c>
      <c r="B525" t="s">
        <v>1297</v>
      </c>
    </row>
    <row r="526" spans="1:2">
      <c r="A526">
        <v>14507505</v>
      </c>
      <c r="B526" t="s">
        <v>1298</v>
      </c>
    </row>
    <row r="527" spans="1:2">
      <c r="A527">
        <v>14507506</v>
      </c>
      <c r="B527" t="s">
        <v>1299</v>
      </c>
    </row>
    <row r="528" spans="1:2">
      <c r="A528">
        <v>14507507</v>
      </c>
      <c r="B528" t="s">
        <v>1300</v>
      </c>
    </row>
    <row r="529" spans="1:2">
      <c r="A529">
        <v>14507508</v>
      </c>
      <c r="B529" t="s">
        <v>2449</v>
      </c>
    </row>
    <row r="530" spans="1:2">
      <c r="A530">
        <v>14507509</v>
      </c>
      <c r="B530" t="s">
        <v>1301</v>
      </c>
    </row>
    <row r="531" spans="1:2">
      <c r="A531">
        <v>14599901</v>
      </c>
      <c r="B531" t="s">
        <v>1318</v>
      </c>
    </row>
    <row r="532" spans="1:2">
      <c r="A532">
        <v>14599902</v>
      </c>
      <c r="B532" t="s">
        <v>1319</v>
      </c>
    </row>
    <row r="533" spans="1:2">
      <c r="A533">
        <v>14599903</v>
      </c>
      <c r="B533" t="s">
        <v>1320</v>
      </c>
    </row>
    <row r="534" spans="1:2">
      <c r="A534">
        <v>14599904</v>
      </c>
      <c r="B534" t="s">
        <v>1321</v>
      </c>
    </row>
    <row r="535" spans="1:2">
      <c r="A535">
        <v>14599905</v>
      </c>
      <c r="B535" t="s">
        <v>1322</v>
      </c>
    </row>
    <row r="536" spans="1:2">
      <c r="A536">
        <v>14599906</v>
      </c>
      <c r="B536" t="s">
        <v>1323</v>
      </c>
    </row>
    <row r="537" spans="1:2">
      <c r="A537">
        <v>14599907</v>
      </c>
      <c r="B537" t="s">
        <v>1324</v>
      </c>
    </row>
    <row r="538" spans="1:2">
      <c r="A538">
        <v>14599908</v>
      </c>
      <c r="B538" t="s">
        <v>1325</v>
      </c>
    </row>
    <row r="539" spans="1:2">
      <c r="A539">
        <v>14599909</v>
      </c>
      <c r="B539" t="s">
        <v>1326</v>
      </c>
    </row>
    <row r="540" spans="1:2">
      <c r="A540">
        <v>14599910</v>
      </c>
      <c r="B540" t="s">
        <v>1327</v>
      </c>
    </row>
    <row r="541" spans="1:2">
      <c r="A541">
        <v>14599911</v>
      </c>
      <c r="B541" t="s">
        <v>1328</v>
      </c>
    </row>
    <row r="542" spans="1:2">
      <c r="A542">
        <v>14599912</v>
      </c>
      <c r="B542" t="s">
        <v>1329</v>
      </c>
    </row>
    <row r="543" spans="1:2">
      <c r="A543">
        <v>14599913</v>
      </c>
      <c r="B543" t="s">
        <v>1330</v>
      </c>
    </row>
    <row r="544" spans="1:2">
      <c r="A544">
        <v>14599914</v>
      </c>
      <c r="B544" t="s">
        <v>1331</v>
      </c>
    </row>
    <row r="545" spans="1:2">
      <c r="A545">
        <v>14599915</v>
      </c>
      <c r="B545" t="s">
        <v>1332</v>
      </c>
    </row>
    <row r="546" spans="1:2">
      <c r="A546">
        <v>14599916</v>
      </c>
      <c r="B546" t="s">
        <v>1333</v>
      </c>
    </row>
    <row r="547" spans="1:2">
      <c r="A547">
        <v>14599917</v>
      </c>
      <c r="B547" t="s">
        <v>1334</v>
      </c>
    </row>
    <row r="548" spans="1:2">
      <c r="A548">
        <v>14599918</v>
      </c>
      <c r="B548" t="s">
        <v>1335</v>
      </c>
    </row>
    <row r="549" spans="1:2">
      <c r="A549">
        <v>14599919</v>
      </c>
      <c r="B549" t="s">
        <v>1336</v>
      </c>
    </row>
    <row r="550" spans="1:2">
      <c r="A550">
        <v>14599920</v>
      </c>
      <c r="B550" t="s">
        <v>1337</v>
      </c>
    </row>
    <row r="551" spans="1:2">
      <c r="A551">
        <v>14599921</v>
      </c>
      <c r="B551" t="s">
        <v>1338</v>
      </c>
    </row>
    <row r="552" spans="1:2">
      <c r="A552">
        <v>14599922</v>
      </c>
      <c r="B552" t="s">
        <v>1339</v>
      </c>
    </row>
    <row r="553" spans="1:2">
      <c r="A553">
        <v>14599923</v>
      </c>
      <c r="B553" t="s">
        <v>1340</v>
      </c>
    </row>
    <row r="554" spans="1:2">
      <c r="A554">
        <v>14599924</v>
      </c>
      <c r="B554" t="s">
        <v>1341</v>
      </c>
    </row>
    <row r="555" spans="1:2">
      <c r="A555">
        <v>14599925</v>
      </c>
      <c r="B555" t="s">
        <v>1342</v>
      </c>
    </row>
    <row r="556" spans="1:2">
      <c r="A556">
        <v>14599926</v>
      </c>
      <c r="B556" t="s">
        <v>1343</v>
      </c>
    </row>
    <row r="557" spans="1:2">
      <c r="A557">
        <v>14599927</v>
      </c>
      <c r="B557" t="s">
        <v>1344</v>
      </c>
    </row>
    <row r="558" spans="1:2">
      <c r="A558">
        <v>14506910</v>
      </c>
      <c r="B558" t="s">
        <v>1153</v>
      </c>
    </row>
    <row r="559" spans="1:2">
      <c r="A559">
        <v>14506911</v>
      </c>
      <c r="B559" t="s">
        <v>1154</v>
      </c>
    </row>
    <row r="560" spans="1:2">
      <c r="A560">
        <v>14506912</v>
      </c>
      <c r="B560" t="s">
        <v>1155</v>
      </c>
    </row>
    <row r="561" spans="1:2">
      <c r="A561">
        <v>14506913</v>
      </c>
      <c r="B561" t="s">
        <v>1156</v>
      </c>
    </row>
    <row r="562" spans="1:2">
      <c r="A562">
        <v>14506914</v>
      </c>
      <c r="B562" t="s">
        <v>1157</v>
      </c>
    </row>
    <row r="563" spans="1:2">
      <c r="A563">
        <v>14506915</v>
      </c>
      <c r="B563" t="s">
        <v>1158</v>
      </c>
    </row>
    <row r="564" spans="1:2">
      <c r="A564">
        <v>14506916</v>
      </c>
      <c r="B564" t="s">
        <v>1159</v>
      </c>
    </row>
    <row r="565" spans="1:2">
      <c r="A565">
        <v>14506917</v>
      </c>
      <c r="B565" t="s">
        <v>1160</v>
      </c>
    </row>
    <row r="566" spans="1:2">
      <c r="A566">
        <v>14506918</v>
      </c>
      <c r="B566" t="s">
        <v>1161</v>
      </c>
    </row>
    <row r="567" spans="1:2">
      <c r="A567">
        <v>14506919</v>
      </c>
      <c r="B567" t="s">
        <v>1162</v>
      </c>
    </row>
    <row r="568" spans="1:2">
      <c r="A568">
        <v>14506920</v>
      </c>
      <c r="B568" t="s">
        <v>1163</v>
      </c>
    </row>
    <row r="569" spans="1:2">
      <c r="A569">
        <v>14506921</v>
      </c>
      <c r="B569" t="s">
        <v>1164</v>
      </c>
    </row>
    <row r="570" spans="1:2">
      <c r="A570">
        <v>14506922</v>
      </c>
      <c r="B570" t="s">
        <v>1165</v>
      </c>
    </row>
    <row r="571" spans="1:2">
      <c r="A571">
        <v>14506923</v>
      </c>
      <c r="B571" t="s">
        <v>1166</v>
      </c>
    </row>
    <row r="572" spans="1:2">
      <c r="A572">
        <v>14506924</v>
      </c>
      <c r="B572" t="s">
        <v>1167</v>
      </c>
    </row>
    <row r="573" spans="1:2">
      <c r="A573">
        <v>14506925</v>
      </c>
      <c r="B573" t="s">
        <v>1168</v>
      </c>
    </row>
    <row r="574" spans="1:2">
      <c r="A574">
        <v>14507010</v>
      </c>
      <c r="B574" t="s">
        <v>1178</v>
      </c>
    </row>
    <row r="575" spans="1:2">
      <c r="A575">
        <v>14507011</v>
      </c>
      <c r="B575" t="s">
        <v>1179</v>
      </c>
    </row>
    <row r="576" spans="1:2">
      <c r="A576">
        <v>14507012</v>
      </c>
      <c r="B576" t="s">
        <v>1180</v>
      </c>
    </row>
    <row r="577" spans="1:2">
      <c r="A577">
        <v>14507013</v>
      </c>
      <c r="B577" t="s">
        <v>1181</v>
      </c>
    </row>
    <row r="578" spans="1:2">
      <c r="A578">
        <v>14507014</v>
      </c>
      <c r="B578" t="s">
        <v>1182</v>
      </c>
    </row>
    <row r="579" spans="1:2">
      <c r="A579">
        <v>14507015</v>
      </c>
      <c r="B579" t="s">
        <v>1183</v>
      </c>
    </row>
    <row r="580" spans="1:2">
      <c r="A580">
        <v>14507016</v>
      </c>
      <c r="B580" t="s">
        <v>1184</v>
      </c>
    </row>
    <row r="581" spans="1:2">
      <c r="A581">
        <v>14507017</v>
      </c>
      <c r="B581" t="s">
        <v>1185</v>
      </c>
    </row>
    <row r="582" spans="1:2">
      <c r="A582">
        <v>14507018</v>
      </c>
      <c r="B582" t="s">
        <v>1186</v>
      </c>
    </row>
    <row r="583" spans="1:2">
      <c r="A583">
        <v>14507019</v>
      </c>
      <c r="B583" t="s">
        <v>1187</v>
      </c>
    </row>
    <row r="584" spans="1:2">
      <c r="A584">
        <v>14507020</v>
      </c>
      <c r="B584" t="s">
        <v>1188</v>
      </c>
    </row>
    <row r="585" spans="1:2">
      <c r="A585">
        <v>14507021</v>
      </c>
      <c r="B585" t="s">
        <v>1189</v>
      </c>
    </row>
    <row r="586" spans="1:2">
      <c r="A586">
        <v>14507022</v>
      </c>
      <c r="B586" t="s">
        <v>1190</v>
      </c>
    </row>
    <row r="587" spans="1:2">
      <c r="A587">
        <v>14507023</v>
      </c>
      <c r="B587" t="s">
        <v>1191</v>
      </c>
    </row>
    <row r="588" spans="1:2">
      <c r="A588">
        <v>14507024</v>
      </c>
      <c r="B588" t="s">
        <v>1192</v>
      </c>
    </row>
    <row r="589" spans="1:2">
      <c r="A589">
        <v>14507025</v>
      </c>
      <c r="B589" t="s">
        <v>1193</v>
      </c>
    </row>
    <row r="590" spans="1:2">
      <c r="A590">
        <v>14507110</v>
      </c>
      <c r="B590" t="s">
        <v>1203</v>
      </c>
    </row>
    <row r="591" spans="1:2">
      <c r="A591">
        <v>14507111</v>
      </c>
      <c r="B591" t="s">
        <v>1204</v>
      </c>
    </row>
    <row r="592" spans="1:2">
      <c r="A592">
        <v>14507112</v>
      </c>
      <c r="B592" t="s">
        <v>1205</v>
      </c>
    </row>
    <row r="593" spans="1:2">
      <c r="A593">
        <v>14507113</v>
      </c>
      <c r="B593" t="s">
        <v>1206</v>
      </c>
    </row>
    <row r="594" spans="1:2">
      <c r="A594">
        <v>14507114</v>
      </c>
      <c r="B594" t="s">
        <v>1207</v>
      </c>
    </row>
    <row r="595" spans="1:2">
      <c r="A595">
        <v>14507115</v>
      </c>
      <c r="B595" t="s">
        <v>1208</v>
      </c>
    </row>
    <row r="596" spans="1:2">
      <c r="A596">
        <v>14507116</v>
      </c>
      <c r="B596" t="s">
        <v>1209</v>
      </c>
    </row>
    <row r="597" spans="1:2">
      <c r="A597">
        <v>14507117</v>
      </c>
      <c r="B597" t="s">
        <v>1210</v>
      </c>
    </row>
    <row r="598" spans="1:2">
      <c r="A598">
        <v>14507118</v>
      </c>
      <c r="B598" t="s">
        <v>1211</v>
      </c>
    </row>
    <row r="599" spans="1:2">
      <c r="A599">
        <v>14507119</v>
      </c>
      <c r="B599" t="s">
        <v>1212</v>
      </c>
    </row>
    <row r="600" spans="1:2">
      <c r="A600">
        <v>14507120</v>
      </c>
      <c r="B600" t="s">
        <v>1213</v>
      </c>
    </row>
    <row r="601" spans="1:2">
      <c r="A601">
        <v>14507121</v>
      </c>
      <c r="B601" t="s">
        <v>1214</v>
      </c>
    </row>
    <row r="602" spans="1:2">
      <c r="A602">
        <v>14507122</v>
      </c>
      <c r="B602" t="s">
        <v>1215</v>
      </c>
    </row>
    <row r="603" spans="1:2">
      <c r="A603">
        <v>14507123</v>
      </c>
      <c r="B603" t="s">
        <v>1216</v>
      </c>
    </row>
    <row r="604" spans="1:2">
      <c r="A604">
        <v>14507124</v>
      </c>
      <c r="B604" t="s">
        <v>1217</v>
      </c>
    </row>
    <row r="605" spans="1:2">
      <c r="A605">
        <v>14507125</v>
      </c>
      <c r="B605" t="s">
        <v>1218</v>
      </c>
    </row>
    <row r="606" spans="1:2">
      <c r="A606">
        <v>14507210</v>
      </c>
      <c r="B606" t="s">
        <v>1228</v>
      </c>
    </row>
    <row r="607" spans="1:2">
      <c r="A607">
        <v>14507211</v>
      </c>
      <c r="B607" t="s">
        <v>1229</v>
      </c>
    </row>
    <row r="608" spans="1:2">
      <c r="A608">
        <v>14507212</v>
      </c>
      <c r="B608" t="s">
        <v>1230</v>
      </c>
    </row>
    <row r="609" spans="1:2">
      <c r="A609">
        <v>14507213</v>
      </c>
      <c r="B609" t="s">
        <v>1231</v>
      </c>
    </row>
    <row r="610" spans="1:2">
      <c r="A610">
        <v>14507214</v>
      </c>
      <c r="B610" t="s">
        <v>1232</v>
      </c>
    </row>
    <row r="611" spans="1:2">
      <c r="A611">
        <v>14507215</v>
      </c>
      <c r="B611" t="s">
        <v>1233</v>
      </c>
    </row>
    <row r="612" spans="1:2">
      <c r="A612">
        <v>14507216</v>
      </c>
      <c r="B612" t="s">
        <v>1234</v>
      </c>
    </row>
    <row r="613" spans="1:2">
      <c r="A613">
        <v>14507217</v>
      </c>
      <c r="B613" t="s">
        <v>1235</v>
      </c>
    </row>
    <row r="614" spans="1:2">
      <c r="A614">
        <v>14507218</v>
      </c>
      <c r="B614" t="s">
        <v>1236</v>
      </c>
    </row>
    <row r="615" spans="1:2">
      <c r="A615">
        <v>14507219</v>
      </c>
      <c r="B615" t="s">
        <v>1237</v>
      </c>
    </row>
    <row r="616" spans="1:2">
      <c r="A616">
        <v>14507220</v>
      </c>
      <c r="B616" t="s">
        <v>1238</v>
      </c>
    </row>
    <row r="617" spans="1:2">
      <c r="A617">
        <v>14507221</v>
      </c>
      <c r="B617" t="s">
        <v>1239</v>
      </c>
    </row>
    <row r="618" spans="1:2">
      <c r="A618">
        <v>14507222</v>
      </c>
      <c r="B618" t="s">
        <v>1240</v>
      </c>
    </row>
    <row r="619" spans="1:2">
      <c r="A619">
        <v>14507223</v>
      </c>
      <c r="B619" t="s">
        <v>1241</v>
      </c>
    </row>
    <row r="620" spans="1:2">
      <c r="A620">
        <v>14507224</v>
      </c>
      <c r="B620" t="s">
        <v>1242</v>
      </c>
    </row>
    <row r="621" spans="1:2">
      <c r="A621">
        <v>14507225</v>
      </c>
      <c r="B621" t="s">
        <v>1243</v>
      </c>
    </row>
    <row r="622" spans="1:2">
      <c r="A622">
        <v>14507310</v>
      </c>
      <c r="B622" t="s">
        <v>1253</v>
      </c>
    </row>
    <row r="623" spans="1:2">
      <c r="A623">
        <v>14507311</v>
      </c>
      <c r="B623" t="s">
        <v>1254</v>
      </c>
    </row>
    <row r="624" spans="1:2">
      <c r="A624">
        <v>14507312</v>
      </c>
      <c r="B624" t="s">
        <v>1255</v>
      </c>
    </row>
    <row r="625" spans="1:2">
      <c r="A625">
        <v>14507313</v>
      </c>
      <c r="B625" t="s">
        <v>1256</v>
      </c>
    </row>
    <row r="626" spans="1:2">
      <c r="A626">
        <v>14507314</v>
      </c>
      <c r="B626" t="s">
        <v>1257</v>
      </c>
    </row>
    <row r="627" spans="1:2">
      <c r="A627">
        <v>14507315</v>
      </c>
      <c r="B627" t="s">
        <v>1258</v>
      </c>
    </row>
    <row r="628" spans="1:2">
      <c r="A628">
        <v>14507316</v>
      </c>
      <c r="B628" t="s">
        <v>1259</v>
      </c>
    </row>
    <row r="629" spans="1:2">
      <c r="A629">
        <v>14507317</v>
      </c>
      <c r="B629" t="s">
        <v>1260</v>
      </c>
    </row>
    <row r="630" spans="1:2">
      <c r="A630">
        <v>14507318</v>
      </c>
      <c r="B630" t="s">
        <v>1261</v>
      </c>
    </row>
    <row r="631" spans="1:2">
      <c r="A631">
        <v>14507319</v>
      </c>
      <c r="B631" t="s">
        <v>1262</v>
      </c>
    </row>
    <row r="632" spans="1:2">
      <c r="A632">
        <v>14507320</v>
      </c>
      <c r="B632" t="s">
        <v>1263</v>
      </c>
    </row>
    <row r="633" spans="1:2">
      <c r="A633">
        <v>14507321</v>
      </c>
      <c r="B633" t="s">
        <v>1264</v>
      </c>
    </row>
    <row r="634" spans="1:2">
      <c r="A634">
        <v>14507322</v>
      </c>
      <c r="B634" t="s">
        <v>1265</v>
      </c>
    </row>
    <row r="635" spans="1:2">
      <c r="A635">
        <v>14507323</v>
      </c>
      <c r="B635" t="s">
        <v>1266</v>
      </c>
    </row>
    <row r="636" spans="1:2">
      <c r="A636">
        <v>14507324</v>
      </c>
      <c r="B636" t="s">
        <v>1267</v>
      </c>
    </row>
    <row r="637" spans="1:2">
      <c r="A637">
        <v>14507325</v>
      </c>
      <c r="B637" t="s">
        <v>1268</v>
      </c>
    </row>
    <row r="638" spans="1:2">
      <c r="A638">
        <v>14507410</v>
      </c>
      <c r="B638" t="s">
        <v>1278</v>
      </c>
    </row>
    <row r="639" spans="1:2">
      <c r="A639">
        <v>14507411</v>
      </c>
      <c r="B639" t="s">
        <v>1279</v>
      </c>
    </row>
    <row r="640" spans="1:2">
      <c r="A640">
        <v>14507412</v>
      </c>
      <c r="B640" t="s">
        <v>1280</v>
      </c>
    </row>
    <row r="641" spans="1:2">
      <c r="A641">
        <v>14507413</v>
      </c>
      <c r="B641" t="s">
        <v>1281</v>
      </c>
    </row>
    <row r="642" spans="1:2">
      <c r="A642">
        <v>14507414</v>
      </c>
      <c r="B642" t="s">
        <v>1282</v>
      </c>
    </row>
    <row r="643" spans="1:2">
      <c r="A643">
        <v>14507415</v>
      </c>
      <c r="B643" t="s">
        <v>1283</v>
      </c>
    </row>
    <row r="644" spans="1:2">
      <c r="A644">
        <v>14507416</v>
      </c>
      <c r="B644" t="s">
        <v>1284</v>
      </c>
    </row>
    <row r="645" spans="1:2">
      <c r="A645">
        <v>14507417</v>
      </c>
      <c r="B645" t="s">
        <v>1285</v>
      </c>
    </row>
    <row r="646" spans="1:2">
      <c r="A646">
        <v>14507418</v>
      </c>
      <c r="B646" t="s">
        <v>1286</v>
      </c>
    </row>
    <row r="647" spans="1:2">
      <c r="A647">
        <v>14507419</v>
      </c>
      <c r="B647" t="s">
        <v>1287</v>
      </c>
    </row>
    <row r="648" spans="1:2">
      <c r="A648">
        <v>14507420</v>
      </c>
      <c r="B648" t="s">
        <v>1288</v>
      </c>
    </row>
    <row r="649" spans="1:2">
      <c r="A649">
        <v>14507421</v>
      </c>
      <c r="B649" t="s">
        <v>1289</v>
      </c>
    </row>
    <row r="650" spans="1:2">
      <c r="A650">
        <v>14507422</v>
      </c>
      <c r="B650" t="s">
        <v>1290</v>
      </c>
    </row>
    <row r="651" spans="1:2">
      <c r="A651">
        <v>14507423</v>
      </c>
      <c r="B651" t="s">
        <v>1291</v>
      </c>
    </row>
    <row r="652" spans="1:2">
      <c r="A652">
        <v>14507424</v>
      </c>
      <c r="B652" t="s">
        <v>1292</v>
      </c>
    </row>
    <row r="653" spans="1:2">
      <c r="A653">
        <v>14507425</v>
      </c>
      <c r="B653" t="s">
        <v>1293</v>
      </c>
    </row>
    <row r="654" spans="1:2">
      <c r="A654">
        <v>14507510</v>
      </c>
      <c r="B654" t="s">
        <v>1302</v>
      </c>
    </row>
    <row r="655" spans="1:2">
      <c r="A655">
        <v>14507511</v>
      </c>
      <c r="B655" t="s">
        <v>1303</v>
      </c>
    </row>
    <row r="656" spans="1:2">
      <c r="A656">
        <v>14507512</v>
      </c>
      <c r="B656" t="s">
        <v>1304</v>
      </c>
    </row>
    <row r="657" spans="1:2">
      <c r="A657">
        <v>14507513</v>
      </c>
      <c r="B657" t="s">
        <v>1305</v>
      </c>
    </row>
    <row r="658" spans="1:2">
      <c r="A658">
        <v>14507514</v>
      </c>
      <c r="B658" t="s">
        <v>1306</v>
      </c>
    </row>
    <row r="659" spans="1:2">
      <c r="A659">
        <v>14507515</v>
      </c>
      <c r="B659" t="s">
        <v>1307</v>
      </c>
    </row>
    <row r="660" spans="1:2">
      <c r="A660">
        <v>14507516</v>
      </c>
      <c r="B660" t="s">
        <v>1308</v>
      </c>
    </row>
    <row r="661" spans="1:2">
      <c r="A661">
        <v>14507517</v>
      </c>
      <c r="B661" t="s">
        <v>1309</v>
      </c>
    </row>
    <row r="662" spans="1:2">
      <c r="A662">
        <v>14507518</v>
      </c>
      <c r="B662" t="s">
        <v>1310</v>
      </c>
    </row>
    <row r="663" spans="1:2">
      <c r="A663">
        <v>14507519</v>
      </c>
      <c r="B663" t="s">
        <v>1311</v>
      </c>
    </row>
    <row r="664" spans="1:2">
      <c r="A664">
        <v>14507520</v>
      </c>
      <c r="B664" t="s">
        <v>1312</v>
      </c>
    </row>
    <row r="665" spans="1:2">
      <c r="A665">
        <v>14507521</v>
      </c>
      <c r="B665" t="s">
        <v>1313</v>
      </c>
    </row>
    <row r="666" spans="1:2">
      <c r="A666">
        <v>14507522</v>
      </c>
      <c r="B666" t="s">
        <v>1314</v>
      </c>
    </row>
    <row r="667" spans="1:2">
      <c r="A667">
        <v>14507523</v>
      </c>
      <c r="B667" t="s">
        <v>1315</v>
      </c>
    </row>
    <row r="668" spans="1:2">
      <c r="A668">
        <v>14507524</v>
      </c>
      <c r="B668" t="s">
        <v>1316</v>
      </c>
    </row>
    <row r="669" spans="1:2">
      <c r="A669">
        <v>14507525</v>
      </c>
      <c r="B669" t="s">
        <v>1317</v>
      </c>
    </row>
    <row r="670" spans="1:2">
      <c r="A670">
        <v>14599928</v>
      </c>
      <c r="B670" t="s">
        <v>1345</v>
      </c>
    </row>
    <row r="671" spans="1:2">
      <c r="A671">
        <v>14599929</v>
      </c>
      <c r="B671" t="s">
        <v>1346</v>
      </c>
    </row>
    <row r="672" spans="1:2">
      <c r="A672">
        <v>14599930</v>
      </c>
      <c r="B672" t="s">
        <v>1347</v>
      </c>
    </row>
    <row r="673" spans="1:2">
      <c r="A673">
        <v>14599931</v>
      </c>
      <c r="B673" t="s">
        <v>1348</v>
      </c>
    </row>
    <row r="674" spans="1:2">
      <c r="A674">
        <v>14599932</v>
      </c>
      <c r="B674" t="s">
        <v>1349</v>
      </c>
    </row>
    <row r="675" spans="1:2">
      <c r="A675">
        <v>14599933</v>
      </c>
      <c r="B675" t="s">
        <v>1350</v>
      </c>
    </row>
    <row r="676" spans="1:2">
      <c r="A676">
        <v>14599934</v>
      </c>
      <c r="B676" t="s">
        <v>1351</v>
      </c>
    </row>
    <row r="677" spans="1:2">
      <c r="A677">
        <v>14599935</v>
      </c>
      <c r="B677" t="s">
        <v>1352</v>
      </c>
    </row>
    <row r="678" spans="1:2">
      <c r="A678">
        <v>14599936</v>
      </c>
      <c r="B678" t="s">
        <v>1353</v>
      </c>
    </row>
    <row r="679" spans="1:2">
      <c r="A679">
        <v>14599937</v>
      </c>
      <c r="B679" t="s">
        <v>1354</v>
      </c>
    </row>
    <row r="680" spans="1:2">
      <c r="A680">
        <v>14599938</v>
      </c>
      <c r="B680" t="s">
        <v>1355</v>
      </c>
    </row>
    <row r="681" spans="1:2">
      <c r="A681">
        <v>14599939</v>
      </c>
      <c r="B681" t="s">
        <v>1356</v>
      </c>
    </row>
    <row r="682" spans="1:2">
      <c r="A682">
        <v>14599940</v>
      </c>
      <c r="B682" t="s">
        <v>1357</v>
      </c>
    </row>
    <row r="683" spans="1:2">
      <c r="A683">
        <v>14599941</v>
      </c>
      <c r="B683" t="s">
        <v>1358</v>
      </c>
    </row>
    <row r="684" spans="1:2">
      <c r="A684">
        <v>14599942</v>
      </c>
      <c r="B684" t="s">
        <v>1359</v>
      </c>
    </row>
    <row r="685" spans="1:2">
      <c r="A685">
        <v>14599943</v>
      </c>
      <c r="B685" t="s">
        <v>1360</v>
      </c>
    </row>
    <row r="686" spans="1:2">
      <c r="A686">
        <v>15007601</v>
      </c>
      <c r="B686" t="s">
        <v>1361</v>
      </c>
    </row>
    <row r="687" spans="1:2">
      <c r="A687" t="s">
        <v>2178</v>
      </c>
      <c r="B687" t="s">
        <v>2179</v>
      </c>
    </row>
    <row r="688" spans="1:2">
      <c r="A688" t="s">
        <v>2180</v>
      </c>
      <c r="B688" t="s">
        <v>2181</v>
      </c>
    </row>
    <row r="689" spans="1:2">
      <c r="A689" t="s">
        <v>2182</v>
      </c>
      <c r="B689" t="s">
        <v>2183</v>
      </c>
    </row>
    <row r="690" spans="1:2">
      <c r="A690" t="s">
        <v>2184</v>
      </c>
      <c r="B690" t="s">
        <v>2185</v>
      </c>
    </row>
    <row r="691" spans="1:2">
      <c r="A691" t="s">
        <v>2186</v>
      </c>
      <c r="B691" t="s">
        <v>2187</v>
      </c>
    </row>
    <row r="692" spans="1:2">
      <c r="A692" t="s">
        <v>2188</v>
      </c>
      <c r="B692" t="s">
        <v>2189</v>
      </c>
    </row>
    <row r="693" spans="1:2">
      <c r="A693" t="s">
        <v>2190</v>
      </c>
      <c r="B693" t="s">
        <v>2191</v>
      </c>
    </row>
    <row r="694" spans="1:2">
      <c r="A694" t="s">
        <v>2192</v>
      </c>
      <c r="B694" t="s">
        <v>2193</v>
      </c>
    </row>
    <row r="695" spans="1:2">
      <c r="A695" t="s">
        <v>2194</v>
      </c>
      <c r="B695" t="s">
        <v>2195</v>
      </c>
    </row>
    <row r="696" spans="1:2">
      <c r="A696" t="s">
        <v>2196</v>
      </c>
      <c r="B696" t="s">
        <v>2197</v>
      </c>
    </row>
    <row r="697" spans="1:2">
      <c r="A697" t="s">
        <v>2198</v>
      </c>
      <c r="B697" t="s">
        <v>2199</v>
      </c>
    </row>
    <row r="698" spans="1:2">
      <c r="A698" t="s">
        <v>2200</v>
      </c>
      <c r="B698" t="s">
        <v>2201</v>
      </c>
    </row>
    <row r="699" spans="1:2">
      <c r="A699" t="s">
        <v>2202</v>
      </c>
      <c r="B699" t="s">
        <v>2203</v>
      </c>
    </row>
    <row r="700" spans="1:2">
      <c r="A700" t="s">
        <v>2204</v>
      </c>
      <c r="B700" t="s">
        <v>2205</v>
      </c>
    </row>
    <row r="701" spans="1:2">
      <c r="A701" t="s">
        <v>2206</v>
      </c>
      <c r="B701" t="s">
        <v>2207</v>
      </c>
    </row>
    <row r="702" spans="1:2">
      <c r="A702" t="s">
        <v>2208</v>
      </c>
      <c r="B702" t="s">
        <v>2209</v>
      </c>
    </row>
    <row r="703" spans="1:2">
      <c r="A703" t="s">
        <v>2210</v>
      </c>
      <c r="B703" t="s">
        <v>2211</v>
      </c>
    </row>
    <row r="704" spans="1:2">
      <c r="A704" t="s">
        <v>2212</v>
      </c>
      <c r="B704" t="s">
        <v>2213</v>
      </c>
    </row>
    <row r="705" spans="1:2">
      <c r="A705">
        <v>20100101</v>
      </c>
      <c r="B705" t="s">
        <v>1362</v>
      </c>
    </row>
    <row r="706" spans="1:2">
      <c r="A706">
        <v>20100201</v>
      </c>
      <c r="B706" t="s">
        <v>1363</v>
      </c>
    </row>
    <row r="707" spans="1:2">
      <c r="A707">
        <v>20199901</v>
      </c>
      <c r="B707" t="s">
        <v>1364</v>
      </c>
    </row>
    <row r="708" spans="1:2">
      <c r="A708">
        <v>20500301</v>
      </c>
      <c r="B708" t="s">
        <v>1365</v>
      </c>
    </row>
    <row r="709" spans="1:2">
      <c r="A709">
        <v>20500302</v>
      </c>
      <c r="B709" t="s">
        <v>1366</v>
      </c>
    </row>
    <row r="710" spans="1:2">
      <c r="A710">
        <v>20500303</v>
      </c>
      <c r="B710" t="s">
        <v>1367</v>
      </c>
    </row>
    <row r="711" spans="1:2">
      <c r="A711">
        <v>20500304</v>
      </c>
      <c r="B711" t="s">
        <v>1368</v>
      </c>
    </row>
    <row r="712" spans="1:2">
      <c r="A712">
        <v>20500305</v>
      </c>
      <c r="B712" t="s">
        <v>1369</v>
      </c>
    </row>
    <row r="713" spans="1:2">
      <c r="A713">
        <v>20500306</v>
      </c>
      <c r="B713" t="s">
        <v>1370</v>
      </c>
    </row>
    <row r="714" spans="1:2">
      <c r="A714">
        <v>20500307</v>
      </c>
      <c r="B714" t="s">
        <v>1369</v>
      </c>
    </row>
    <row r="715" spans="1:2">
      <c r="A715">
        <v>20500308</v>
      </c>
      <c r="B715" t="s">
        <v>1371</v>
      </c>
    </row>
    <row r="716" spans="1:2">
      <c r="A716">
        <v>20500309</v>
      </c>
      <c r="B716" t="s">
        <v>1372</v>
      </c>
    </row>
    <row r="717" spans="1:2">
      <c r="A717">
        <v>20500401</v>
      </c>
      <c r="B717" t="s">
        <v>1381</v>
      </c>
    </row>
    <row r="718" spans="1:2">
      <c r="A718">
        <v>20500402</v>
      </c>
      <c r="B718" t="s">
        <v>1382</v>
      </c>
    </row>
    <row r="719" spans="1:2">
      <c r="A719">
        <v>20500403</v>
      </c>
      <c r="B719" t="s">
        <v>1383</v>
      </c>
    </row>
    <row r="720" spans="1:2">
      <c r="A720">
        <v>20500404</v>
      </c>
      <c r="B720" t="s">
        <v>1384</v>
      </c>
    </row>
    <row r="721" spans="1:2">
      <c r="A721">
        <v>20500405</v>
      </c>
      <c r="B721" t="s">
        <v>1385</v>
      </c>
    </row>
    <row r="722" spans="1:2">
      <c r="A722">
        <v>20500406</v>
      </c>
      <c r="B722" t="s">
        <v>1386</v>
      </c>
    </row>
    <row r="723" spans="1:2">
      <c r="A723">
        <v>20500407</v>
      </c>
      <c r="B723" t="s">
        <v>1387</v>
      </c>
    </row>
    <row r="724" spans="1:2">
      <c r="A724">
        <v>20500408</v>
      </c>
      <c r="B724" t="s">
        <v>1388</v>
      </c>
    </row>
    <row r="725" spans="1:2">
      <c r="A725">
        <v>20500409</v>
      </c>
      <c r="B725" t="s">
        <v>1389</v>
      </c>
    </row>
    <row r="726" spans="1:2">
      <c r="A726">
        <v>20599901</v>
      </c>
      <c r="B726" t="s">
        <v>1398</v>
      </c>
    </row>
    <row r="727" spans="1:2">
      <c r="A727">
        <v>20599902</v>
      </c>
      <c r="B727" t="s">
        <v>1399</v>
      </c>
    </row>
    <row r="728" spans="1:2">
      <c r="A728">
        <v>20599903</v>
      </c>
      <c r="B728" t="s">
        <v>1400</v>
      </c>
    </row>
    <row r="729" spans="1:2">
      <c r="A729">
        <v>20599904</v>
      </c>
      <c r="B729" t="s">
        <v>1401</v>
      </c>
    </row>
    <row r="730" spans="1:2">
      <c r="A730">
        <v>20599905</v>
      </c>
      <c r="B730" t="s">
        <v>1402</v>
      </c>
    </row>
    <row r="731" spans="1:2">
      <c r="A731">
        <v>20599906</v>
      </c>
      <c r="B731" t="s">
        <v>1403</v>
      </c>
    </row>
    <row r="732" spans="1:2">
      <c r="A732">
        <v>20599907</v>
      </c>
      <c r="B732" t="s">
        <v>1404</v>
      </c>
    </row>
    <row r="733" spans="1:2">
      <c r="A733">
        <v>20599908</v>
      </c>
      <c r="B733" t="s">
        <v>1405</v>
      </c>
    </row>
    <row r="734" spans="1:2">
      <c r="A734">
        <v>20599909</v>
      </c>
      <c r="B734" t="s">
        <v>1406</v>
      </c>
    </row>
    <row r="735" spans="1:2">
      <c r="A735">
        <v>20599910</v>
      </c>
      <c r="B735" t="s">
        <v>1407</v>
      </c>
    </row>
    <row r="736" spans="1:2">
      <c r="A736">
        <v>20599911</v>
      </c>
      <c r="B736" t="s">
        <v>1408</v>
      </c>
    </row>
    <row r="737" spans="1:2">
      <c r="A737">
        <v>20599912</v>
      </c>
      <c r="B737" t="s">
        <v>1409</v>
      </c>
    </row>
    <row r="738" spans="1:2">
      <c r="A738">
        <v>20599913</v>
      </c>
      <c r="B738" t="s">
        <v>1410</v>
      </c>
    </row>
    <row r="739" spans="1:2">
      <c r="A739">
        <v>20599914</v>
      </c>
      <c r="B739" t="s">
        <v>1411</v>
      </c>
    </row>
    <row r="740" spans="1:2">
      <c r="A740">
        <v>20599915</v>
      </c>
      <c r="B740" t="s">
        <v>1412</v>
      </c>
    </row>
    <row r="741" spans="1:2">
      <c r="A741">
        <v>20599916</v>
      </c>
      <c r="B741" t="s">
        <v>1413</v>
      </c>
    </row>
    <row r="742" spans="1:2">
      <c r="A742">
        <v>20599917</v>
      </c>
      <c r="B742" t="s">
        <v>1414</v>
      </c>
    </row>
    <row r="743" spans="1:2">
      <c r="A743">
        <v>20599918</v>
      </c>
      <c r="B743" t="s">
        <v>1415</v>
      </c>
    </row>
    <row r="744" spans="1:2">
      <c r="A744">
        <v>20599919</v>
      </c>
      <c r="B744" t="s">
        <v>1416</v>
      </c>
    </row>
    <row r="745" spans="1:2">
      <c r="A745">
        <v>20599920</v>
      </c>
      <c r="B745" t="s">
        <v>1417</v>
      </c>
    </row>
    <row r="746" spans="1:2">
      <c r="A746">
        <v>20599921</v>
      </c>
      <c r="B746" t="s">
        <v>1418</v>
      </c>
    </row>
    <row r="747" spans="1:2">
      <c r="A747">
        <v>20599922</v>
      </c>
      <c r="B747" t="s">
        <v>1419</v>
      </c>
    </row>
    <row r="748" spans="1:2">
      <c r="A748">
        <v>20599923</v>
      </c>
      <c r="B748" t="s">
        <v>1420</v>
      </c>
    </row>
    <row r="749" spans="1:2">
      <c r="A749">
        <v>20599924</v>
      </c>
      <c r="B749" t="s">
        <v>1421</v>
      </c>
    </row>
    <row r="750" spans="1:2">
      <c r="A750">
        <v>20599925</v>
      </c>
      <c r="B750" t="s">
        <v>1422</v>
      </c>
    </row>
    <row r="751" spans="1:2">
      <c r="A751">
        <v>20599926</v>
      </c>
      <c r="B751" t="s">
        <v>1423</v>
      </c>
    </row>
    <row r="752" spans="1:2">
      <c r="A752">
        <v>20599927</v>
      </c>
      <c r="B752" t="s">
        <v>1424</v>
      </c>
    </row>
    <row r="753" spans="1:2">
      <c r="A753">
        <v>20500310</v>
      </c>
      <c r="B753" t="s">
        <v>1373</v>
      </c>
    </row>
    <row r="754" spans="1:2">
      <c r="A754">
        <v>20500311</v>
      </c>
      <c r="B754" t="s">
        <v>1374</v>
      </c>
    </row>
    <row r="755" spans="1:2">
      <c r="A755">
        <v>20500312</v>
      </c>
      <c r="B755" t="s">
        <v>1375</v>
      </c>
    </row>
    <row r="756" spans="1:2">
      <c r="A756">
        <v>20500313</v>
      </c>
      <c r="B756" t="s">
        <v>1376</v>
      </c>
    </row>
    <row r="757" spans="1:2">
      <c r="A757">
        <v>20500314</v>
      </c>
      <c r="B757" t="s">
        <v>1377</v>
      </c>
    </row>
    <row r="758" spans="1:2">
      <c r="A758">
        <v>20500315</v>
      </c>
      <c r="B758" t="s">
        <v>1378</v>
      </c>
    </row>
    <row r="759" spans="1:2">
      <c r="A759">
        <v>20500316</v>
      </c>
      <c r="B759" t="s">
        <v>1379</v>
      </c>
    </row>
    <row r="760" spans="1:2">
      <c r="A760">
        <v>20500317</v>
      </c>
      <c r="B760" t="s">
        <v>1380</v>
      </c>
    </row>
    <row r="761" spans="1:2">
      <c r="A761">
        <v>20500410</v>
      </c>
      <c r="B761" t="s">
        <v>1390</v>
      </c>
    </row>
    <row r="762" spans="1:2">
      <c r="A762">
        <v>20500411</v>
      </c>
      <c r="B762" t="s">
        <v>1391</v>
      </c>
    </row>
    <row r="763" spans="1:2">
      <c r="A763">
        <v>20500412</v>
      </c>
      <c r="B763" t="s">
        <v>1392</v>
      </c>
    </row>
    <row r="764" spans="1:2">
      <c r="A764">
        <v>20500413</v>
      </c>
      <c r="B764" t="s">
        <v>1393</v>
      </c>
    </row>
    <row r="765" spans="1:2">
      <c r="A765">
        <v>20500414</v>
      </c>
      <c r="B765" t="s">
        <v>1394</v>
      </c>
    </row>
    <row r="766" spans="1:2">
      <c r="A766">
        <v>20500415</v>
      </c>
      <c r="B766" t="s">
        <v>1395</v>
      </c>
    </row>
    <row r="767" spans="1:2">
      <c r="A767">
        <v>20500416</v>
      </c>
      <c r="B767" t="s">
        <v>1396</v>
      </c>
    </row>
    <row r="768" spans="1:2">
      <c r="A768">
        <v>20500417</v>
      </c>
      <c r="B768" t="s">
        <v>1397</v>
      </c>
    </row>
    <row r="769" spans="1:2">
      <c r="A769">
        <v>20599928</v>
      </c>
      <c r="B769" t="s">
        <v>1425</v>
      </c>
    </row>
    <row r="770" spans="1:2">
      <c r="A770">
        <v>20599929</v>
      </c>
      <c r="B770" t="s">
        <v>1426</v>
      </c>
    </row>
    <row r="771" spans="1:2">
      <c r="A771">
        <v>20599930</v>
      </c>
      <c r="B771" t="s">
        <v>1427</v>
      </c>
    </row>
    <row r="772" spans="1:2">
      <c r="A772">
        <v>20599931</v>
      </c>
      <c r="B772" t="s">
        <v>1428</v>
      </c>
    </row>
    <row r="773" spans="1:2">
      <c r="A773">
        <v>20599932</v>
      </c>
      <c r="B773" t="s">
        <v>1429</v>
      </c>
    </row>
    <row r="774" spans="1:2">
      <c r="A774">
        <v>20599933</v>
      </c>
      <c r="B774" t="s">
        <v>1430</v>
      </c>
    </row>
    <row r="775" spans="1:2">
      <c r="A775">
        <v>20599934</v>
      </c>
      <c r="B775" t="s">
        <v>1431</v>
      </c>
    </row>
    <row r="776" spans="1:2">
      <c r="A776">
        <v>20599935</v>
      </c>
      <c r="B776" t="s">
        <v>1432</v>
      </c>
    </row>
    <row r="777" spans="1:2">
      <c r="A777">
        <v>21000501</v>
      </c>
      <c r="B777" t="s">
        <v>1433</v>
      </c>
    </row>
    <row r="778" spans="1:2">
      <c r="A778">
        <v>21000502</v>
      </c>
      <c r="B778" t="s">
        <v>1434</v>
      </c>
    </row>
    <row r="779" spans="1:2">
      <c r="A779">
        <v>21000503</v>
      </c>
      <c r="B779" t="s">
        <v>1435</v>
      </c>
    </row>
    <row r="780" spans="1:2">
      <c r="A780">
        <v>21000504</v>
      </c>
      <c r="B780" t="s">
        <v>1436</v>
      </c>
    </row>
    <row r="781" spans="1:2">
      <c r="A781">
        <v>21000505</v>
      </c>
      <c r="B781" t="s">
        <v>1437</v>
      </c>
    </row>
    <row r="782" spans="1:2">
      <c r="A782">
        <v>21000506</v>
      </c>
      <c r="B782" t="s">
        <v>1438</v>
      </c>
    </row>
    <row r="783" spans="1:2">
      <c r="A783">
        <v>21000507</v>
      </c>
      <c r="B783" t="s">
        <v>1439</v>
      </c>
    </row>
    <row r="784" spans="1:2">
      <c r="A784">
        <v>21000508</v>
      </c>
      <c r="B784" t="s">
        <v>1440</v>
      </c>
    </row>
    <row r="785" spans="1:2">
      <c r="A785">
        <v>21000509</v>
      </c>
      <c r="B785" t="s">
        <v>1441</v>
      </c>
    </row>
    <row r="786" spans="1:2">
      <c r="A786">
        <v>21000510</v>
      </c>
      <c r="B786" t="s">
        <v>1442</v>
      </c>
    </row>
    <row r="787" spans="1:2">
      <c r="A787">
        <v>21000511</v>
      </c>
      <c r="B787" t="s">
        <v>1443</v>
      </c>
    </row>
    <row r="788" spans="1:2">
      <c r="A788">
        <v>21000512</v>
      </c>
      <c r="B788" t="s">
        <v>1444</v>
      </c>
    </row>
    <row r="789" spans="1:2">
      <c r="A789">
        <v>21000513</v>
      </c>
      <c r="B789" t="s">
        <v>1445</v>
      </c>
    </row>
    <row r="790" spans="1:2">
      <c r="A790">
        <v>21000514</v>
      </c>
      <c r="B790" t="s">
        <v>1446</v>
      </c>
    </row>
    <row r="791" spans="1:2">
      <c r="A791">
        <v>21000515</v>
      </c>
      <c r="B791" t="s">
        <v>1447</v>
      </c>
    </row>
    <row r="792" spans="1:2">
      <c r="A792">
        <v>21000516</v>
      </c>
      <c r="B792" t="s">
        <v>1448</v>
      </c>
    </row>
    <row r="793" spans="1:2">
      <c r="A793">
        <v>21000517</v>
      </c>
      <c r="B793" t="s">
        <v>1449</v>
      </c>
    </row>
    <row r="794" spans="1:2">
      <c r="A794">
        <v>21000518</v>
      </c>
      <c r="B794" t="s">
        <v>1450</v>
      </c>
    </row>
    <row r="795" spans="1:2">
      <c r="A795">
        <v>21000519</v>
      </c>
      <c r="B795" t="s">
        <v>1451</v>
      </c>
    </row>
    <row r="796" spans="1:2">
      <c r="A796">
        <v>21000520</v>
      </c>
      <c r="B796" t="s">
        <v>1452</v>
      </c>
    </row>
    <row r="797" spans="1:2">
      <c r="A797">
        <v>21000521</v>
      </c>
      <c r="B797" t="s">
        <v>1453</v>
      </c>
    </row>
    <row r="798" spans="1:2">
      <c r="A798">
        <v>21000522</v>
      </c>
      <c r="B798" t="s">
        <v>1454</v>
      </c>
    </row>
    <row r="799" spans="1:2">
      <c r="A799">
        <v>21000523</v>
      </c>
      <c r="B799" t="s">
        <v>1455</v>
      </c>
    </row>
    <row r="800" spans="1:2">
      <c r="A800">
        <v>21000524</v>
      </c>
      <c r="B800" t="s">
        <v>1456</v>
      </c>
    </row>
    <row r="801" spans="1:2">
      <c r="A801">
        <v>21000525</v>
      </c>
      <c r="B801" t="s">
        <v>1457</v>
      </c>
    </row>
    <row r="802" spans="1:2">
      <c r="A802">
        <v>21000526</v>
      </c>
      <c r="B802" t="s">
        <v>1458</v>
      </c>
    </row>
    <row r="803" spans="1:2">
      <c r="A803">
        <v>21000527</v>
      </c>
      <c r="B803" t="s">
        <v>1459</v>
      </c>
    </row>
    <row r="804" spans="1:2">
      <c r="A804">
        <v>21000528</v>
      </c>
      <c r="B804" t="s">
        <v>1460</v>
      </c>
    </row>
    <row r="805" spans="1:2">
      <c r="A805">
        <v>21000529</v>
      </c>
      <c r="B805" t="s">
        <v>1461</v>
      </c>
    </row>
    <row r="806" spans="1:2">
      <c r="A806">
        <v>21000530</v>
      </c>
      <c r="B806" t="s">
        <v>1462</v>
      </c>
    </row>
    <row r="807" spans="1:2">
      <c r="A807">
        <v>21000531</v>
      </c>
      <c r="B807" t="s">
        <v>1463</v>
      </c>
    </row>
    <row r="808" spans="1:2">
      <c r="A808">
        <v>21000532</v>
      </c>
      <c r="B808" t="s">
        <v>1464</v>
      </c>
    </row>
    <row r="809" spans="1:2">
      <c r="A809">
        <v>22000601</v>
      </c>
      <c r="B809" t="s">
        <v>1465</v>
      </c>
    </row>
    <row r="810" spans="1:2">
      <c r="A810">
        <v>22000602</v>
      </c>
      <c r="B810" t="s">
        <v>1466</v>
      </c>
    </row>
    <row r="811" spans="1:2">
      <c r="A811">
        <v>22000603</v>
      </c>
      <c r="B811" t="s">
        <v>1467</v>
      </c>
    </row>
    <row r="812" spans="1:2">
      <c r="A812">
        <v>22000604</v>
      </c>
      <c r="B812" t="s">
        <v>1468</v>
      </c>
    </row>
    <row r="813" spans="1:2">
      <c r="A813">
        <v>22000605</v>
      </c>
      <c r="B813" t="s">
        <v>1469</v>
      </c>
    </row>
    <row r="814" spans="1:2">
      <c r="A814">
        <v>22000606</v>
      </c>
      <c r="B814" t="s">
        <v>1470</v>
      </c>
    </row>
    <row r="815" spans="1:2">
      <c r="A815">
        <v>22000607</v>
      </c>
      <c r="B815" t="s">
        <v>1471</v>
      </c>
    </row>
    <row r="816" spans="1:2">
      <c r="A816">
        <v>22000608</v>
      </c>
      <c r="B816" t="s">
        <v>1472</v>
      </c>
    </row>
    <row r="817" spans="1:2">
      <c r="A817">
        <v>22000609</v>
      </c>
      <c r="B817" t="s">
        <v>1473</v>
      </c>
    </row>
    <row r="818" spans="1:2">
      <c r="A818">
        <v>22000610</v>
      </c>
      <c r="B818" t="s">
        <v>1474</v>
      </c>
    </row>
    <row r="819" spans="1:2">
      <c r="A819">
        <v>22000611</v>
      </c>
      <c r="B819" t="s">
        <v>1475</v>
      </c>
    </row>
    <row r="820" spans="1:2">
      <c r="A820">
        <v>22000612</v>
      </c>
      <c r="B820" t="s">
        <v>1476</v>
      </c>
    </row>
    <row r="821" spans="1:2">
      <c r="A821">
        <v>22000613</v>
      </c>
      <c r="B821" t="s">
        <v>1477</v>
      </c>
    </row>
    <row r="822" spans="1:2">
      <c r="A822">
        <v>22000614</v>
      </c>
      <c r="B822" t="s">
        <v>1478</v>
      </c>
    </row>
    <row r="823" spans="1:2">
      <c r="A823">
        <v>22000615</v>
      </c>
      <c r="B823" t="s">
        <v>1479</v>
      </c>
    </row>
    <row r="824" spans="1:2">
      <c r="A824">
        <v>22000616</v>
      </c>
      <c r="B824" t="s">
        <v>1480</v>
      </c>
    </row>
    <row r="825" spans="1:2">
      <c r="A825">
        <v>22000617</v>
      </c>
      <c r="B825" t="s">
        <v>1481</v>
      </c>
    </row>
    <row r="826" spans="1:2">
      <c r="A826">
        <v>22500701</v>
      </c>
      <c r="B826" t="s">
        <v>1482</v>
      </c>
    </row>
    <row r="827" spans="1:2">
      <c r="A827">
        <v>22500702</v>
      </c>
      <c r="B827" t="s">
        <v>1483</v>
      </c>
    </row>
    <row r="828" spans="1:2">
      <c r="A828">
        <v>22500703</v>
      </c>
      <c r="B828" t="s">
        <v>1484</v>
      </c>
    </row>
    <row r="829" spans="1:2">
      <c r="A829">
        <v>22500704</v>
      </c>
      <c r="B829" t="s">
        <v>1485</v>
      </c>
    </row>
    <row r="830" spans="1:2">
      <c r="A830">
        <v>22500705</v>
      </c>
      <c r="B830" t="s">
        <v>1486</v>
      </c>
    </row>
    <row r="831" spans="1:2">
      <c r="A831">
        <v>22500706</v>
      </c>
      <c r="B831" t="s">
        <v>1487</v>
      </c>
    </row>
    <row r="832" spans="1:2">
      <c r="A832">
        <v>22500707</v>
      </c>
      <c r="B832" t="s">
        <v>1488</v>
      </c>
    </row>
    <row r="833" spans="1:2">
      <c r="A833">
        <v>22500708</v>
      </c>
      <c r="B833" t="s">
        <v>1489</v>
      </c>
    </row>
    <row r="834" spans="1:2">
      <c r="A834">
        <v>22500709</v>
      </c>
      <c r="B834" t="s">
        <v>1490</v>
      </c>
    </row>
    <row r="835" spans="1:2">
      <c r="A835">
        <v>22500710</v>
      </c>
      <c r="B835" t="s">
        <v>1483</v>
      </c>
    </row>
    <row r="836" spans="1:2">
      <c r="A836">
        <v>22500711</v>
      </c>
      <c r="B836" t="s">
        <v>1491</v>
      </c>
    </row>
    <row r="837" spans="1:2">
      <c r="A837">
        <v>22500712</v>
      </c>
      <c r="B837" t="s">
        <v>1492</v>
      </c>
    </row>
    <row r="838" spans="1:2">
      <c r="A838">
        <v>22500713</v>
      </c>
      <c r="B838" t="s">
        <v>1484</v>
      </c>
    </row>
    <row r="839" spans="1:2">
      <c r="A839">
        <v>22500714</v>
      </c>
      <c r="B839" t="s">
        <v>1485</v>
      </c>
    </row>
    <row r="840" spans="1:2">
      <c r="A840">
        <v>22500715</v>
      </c>
      <c r="B840" t="s">
        <v>1486</v>
      </c>
    </row>
    <row r="841" spans="1:2">
      <c r="A841">
        <v>22500716</v>
      </c>
      <c r="B841" t="s">
        <v>1487</v>
      </c>
    </row>
    <row r="842" spans="1:2">
      <c r="A842">
        <v>22500801</v>
      </c>
      <c r="B842" t="s">
        <v>1493</v>
      </c>
    </row>
    <row r="843" spans="1:2">
      <c r="A843">
        <v>22500802</v>
      </c>
      <c r="B843" t="s">
        <v>1494</v>
      </c>
    </row>
    <row r="844" spans="1:2">
      <c r="A844">
        <v>22500803</v>
      </c>
      <c r="B844" t="s">
        <v>1495</v>
      </c>
    </row>
    <row r="845" spans="1:2">
      <c r="A845">
        <v>22500804</v>
      </c>
      <c r="B845" t="s">
        <v>1496</v>
      </c>
    </row>
    <row r="846" spans="1:2">
      <c r="A846">
        <v>22500805</v>
      </c>
      <c r="B846" t="s">
        <v>1497</v>
      </c>
    </row>
    <row r="847" spans="1:2">
      <c r="A847">
        <v>22500806</v>
      </c>
      <c r="B847" t="s">
        <v>1498</v>
      </c>
    </row>
    <row r="848" spans="1:2">
      <c r="A848">
        <v>23000901</v>
      </c>
      <c r="B848" t="s">
        <v>1499</v>
      </c>
    </row>
    <row r="849" spans="1:2">
      <c r="A849">
        <v>23000902</v>
      </c>
      <c r="B849" t="s">
        <v>1500</v>
      </c>
    </row>
    <row r="850" spans="1:2">
      <c r="A850">
        <v>23000903</v>
      </c>
      <c r="B850" t="s">
        <v>1501</v>
      </c>
    </row>
    <row r="851" spans="1:2">
      <c r="A851">
        <v>23000904</v>
      </c>
      <c r="B851" t="s">
        <v>1502</v>
      </c>
    </row>
    <row r="852" spans="1:2">
      <c r="A852">
        <v>23000905</v>
      </c>
      <c r="B852" t="s">
        <v>1503</v>
      </c>
    </row>
    <row r="853" spans="1:2">
      <c r="A853">
        <v>23000906</v>
      </c>
      <c r="B853" t="s">
        <v>1504</v>
      </c>
    </row>
    <row r="854" spans="1:2">
      <c r="A854">
        <v>29901001</v>
      </c>
      <c r="B854" t="s">
        <v>1505</v>
      </c>
    </row>
    <row r="855" spans="1:2">
      <c r="A855" t="s">
        <v>2214</v>
      </c>
      <c r="B855" t="s">
        <v>2215</v>
      </c>
    </row>
    <row r="856" spans="1:2">
      <c r="A856" t="s">
        <v>2216</v>
      </c>
      <c r="B856" t="s">
        <v>2217</v>
      </c>
    </row>
    <row r="857" spans="1:2">
      <c r="A857" t="s">
        <v>2218</v>
      </c>
      <c r="B857" t="s">
        <v>2219</v>
      </c>
    </row>
    <row r="858" spans="1:2">
      <c r="A858" t="s">
        <v>2220</v>
      </c>
      <c r="B858" t="s">
        <v>2221</v>
      </c>
    </row>
    <row r="859" spans="1:2">
      <c r="A859" t="s">
        <v>2222</v>
      </c>
      <c r="B859" t="s">
        <v>2223</v>
      </c>
    </row>
    <row r="860" spans="1:2">
      <c r="A860" t="s">
        <v>2224</v>
      </c>
      <c r="B860" t="s">
        <v>2225</v>
      </c>
    </row>
    <row r="861" spans="1:2">
      <c r="A861" t="s">
        <v>2226</v>
      </c>
      <c r="B861" t="s">
        <v>2227</v>
      </c>
    </row>
    <row r="862" spans="1:2">
      <c r="A862" t="s">
        <v>2228</v>
      </c>
      <c r="B862" t="s">
        <v>2229</v>
      </c>
    </row>
    <row r="863" spans="1:2">
      <c r="A863" t="s">
        <v>2230</v>
      </c>
      <c r="B863" t="s">
        <v>2231</v>
      </c>
    </row>
    <row r="864" spans="1:2">
      <c r="A864" t="s">
        <v>2232</v>
      </c>
      <c r="B864" t="s">
        <v>2233</v>
      </c>
    </row>
    <row r="865" spans="1:2">
      <c r="A865" t="s">
        <v>2234</v>
      </c>
      <c r="B865" t="s">
        <v>2235</v>
      </c>
    </row>
    <row r="866" spans="1:2">
      <c r="A866" t="s">
        <v>2236</v>
      </c>
      <c r="B866" t="s">
        <v>2237</v>
      </c>
    </row>
    <row r="867" spans="1:2">
      <c r="A867" t="s">
        <v>2238</v>
      </c>
      <c r="B867" t="s">
        <v>2239</v>
      </c>
    </row>
    <row r="868" spans="1:2">
      <c r="A868" t="s">
        <v>2240</v>
      </c>
      <c r="B868" t="s">
        <v>2241</v>
      </c>
    </row>
    <row r="869" spans="1:2">
      <c r="A869" t="s">
        <v>2242</v>
      </c>
      <c r="B869" t="s">
        <v>2243</v>
      </c>
    </row>
    <row r="870" spans="1:2">
      <c r="A870" t="s">
        <v>2244</v>
      </c>
      <c r="B870" t="s">
        <v>2245</v>
      </c>
    </row>
    <row r="871" spans="1:2">
      <c r="A871" t="s">
        <v>2246</v>
      </c>
      <c r="B871" t="s">
        <v>2247</v>
      </c>
    </row>
    <row r="872" spans="1:2">
      <c r="A872" t="s">
        <v>2248</v>
      </c>
      <c r="B872" t="s">
        <v>2249</v>
      </c>
    </row>
    <row r="873" spans="1:2">
      <c r="A873">
        <v>30100101</v>
      </c>
      <c r="B873" t="s">
        <v>1506</v>
      </c>
    </row>
    <row r="874" spans="1:2">
      <c r="A874">
        <v>30100201</v>
      </c>
      <c r="B874" t="s">
        <v>1507</v>
      </c>
    </row>
    <row r="875" spans="1:2">
      <c r="A875">
        <v>30199901</v>
      </c>
      <c r="B875" t="s">
        <v>1508</v>
      </c>
    </row>
    <row r="876" spans="1:2">
      <c r="A876">
        <v>30500301</v>
      </c>
      <c r="B876" t="s">
        <v>1509</v>
      </c>
    </row>
    <row r="877" spans="1:2">
      <c r="A877">
        <v>30500302</v>
      </c>
      <c r="B877" t="s">
        <v>1510</v>
      </c>
    </row>
    <row r="878" spans="1:2">
      <c r="A878">
        <v>30500303</v>
      </c>
      <c r="B878" t="s">
        <v>1511</v>
      </c>
    </row>
    <row r="879" spans="1:2">
      <c r="A879">
        <v>30500304</v>
      </c>
      <c r="B879" t="s">
        <v>1512</v>
      </c>
    </row>
    <row r="880" spans="1:2">
      <c r="A880">
        <v>30500305</v>
      </c>
      <c r="B880" t="s">
        <v>1513</v>
      </c>
    </row>
    <row r="881" spans="1:2">
      <c r="A881">
        <v>30500306</v>
      </c>
      <c r="B881" t="s">
        <v>1514</v>
      </c>
    </row>
    <row r="882" spans="1:2">
      <c r="A882">
        <v>30500307</v>
      </c>
      <c r="B882" t="s">
        <v>1513</v>
      </c>
    </row>
    <row r="883" spans="1:2">
      <c r="A883">
        <v>30500308</v>
      </c>
      <c r="B883" t="s">
        <v>1515</v>
      </c>
    </row>
    <row r="884" spans="1:2">
      <c r="A884">
        <v>30500309</v>
      </c>
      <c r="B884" t="s">
        <v>1516</v>
      </c>
    </row>
    <row r="885" spans="1:2">
      <c r="A885">
        <v>30500401</v>
      </c>
      <c r="B885" t="s">
        <v>1525</v>
      </c>
    </row>
    <row r="886" spans="1:2">
      <c r="A886">
        <v>30500402</v>
      </c>
      <c r="B886" t="s">
        <v>1526</v>
      </c>
    </row>
    <row r="887" spans="1:2">
      <c r="A887">
        <v>30500403</v>
      </c>
      <c r="B887" t="s">
        <v>1527</v>
      </c>
    </row>
    <row r="888" spans="1:2">
      <c r="A888">
        <v>30500404</v>
      </c>
      <c r="B888" t="s">
        <v>1528</v>
      </c>
    </row>
    <row r="889" spans="1:2">
      <c r="A889">
        <v>30500405</v>
      </c>
      <c r="B889" t="s">
        <v>1529</v>
      </c>
    </row>
    <row r="890" spans="1:2">
      <c r="A890">
        <v>30500406</v>
      </c>
      <c r="B890" t="s">
        <v>1530</v>
      </c>
    </row>
    <row r="891" spans="1:2">
      <c r="A891">
        <v>30500407</v>
      </c>
      <c r="B891" t="s">
        <v>1531</v>
      </c>
    </row>
    <row r="892" spans="1:2">
      <c r="A892">
        <v>30500408</v>
      </c>
      <c r="B892" t="s">
        <v>1532</v>
      </c>
    </row>
    <row r="893" spans="1:2">
      <c r="A893">
        <v>30500409</v>
      </c>
      <c r="B893" t="s">
        <v>1533</v>
      </c>
    </row>
    <row r="894" spans="1:2">
      <c r="A894">
        <v>30599901</v>
      </c>
      <c r="B894" t="s">
        <v>1542</v>
      </c>
    </row>
    <row r="895" spans="1:2">
      <c r="A895">
        <v>30599902</v>
      </c>
      <c r="B895" t="s">
        <v>1543</v>
      </c>
    </row>
    <row r="896" spans="1:2">
      <c r="A896">
        <v>30599903</v>
      </c>
      <c r="B896" t="s">
        <v>1544</v>
      </c>
    </row>
    <row r="897" spans="1:2">
      <c r="A897">
        <v>30599904</v>
      </c>
      <c r="B897" t="s">
        <v>1545</v>
      </c>
    </row>
    <row r="898" spans="1:2">
      <c r="A898">
        <v>30599905</v>
      </c>
      <c r="B898" t="s">
        <v>1546</v>
      </c>
    </row>
    <row r="899" spans="1:2">
      <c r="A899">
        <v>30599906</v>
      </c>
      <c r="B899" t="s">
        <v>1547</v>
      </c>
    </row>
    <row r="900" spans="1:2">
      <c r="A900">
        <v>30599907</v>
      </c>
      <c r="B900" t="s">
        <v>1548</v>
      </c>
    </row>
    <row r="901" spans="1:2">
      <c r="A901">
        <v>30599908</v>
      </c>
      <c r="B901" t="s">
        <v>1549</v>
      </c>
    </row>
    <row r="902" spans="1:2">
      <c r="A902">
        <v>30599909</v>
      </c>
      <c r="B902" t="s">
        <v>1550</v>
      </c>
    </row>
    <row r="903" spans="1:2">
      <c r="A903">
        <v>30599910</v>
      </c>
      <c r="B903" t="s">
        <v>1551</v>
      </c>
    </row>
    <row r="904" spans="1:2">
      <c r="A904">
        <v>30599911</v>
      </c>
      <c r="B904" t="s">
        <v>1552</v>
      </c>
    </row>
    <row r="905" spans="1:2">
      <c r="A905">
        <v>30599912</v>
      </c>
      <c r="B905" t="s">
        <v>1553</v>
      </c>
    </row>
    <row r="906" spans="1:2">
      <c r="A906">
        <v>30599913</v>
      </c>
      <c r="B906" t="s">
        <v>1554</v>
      </c>
    </row>
    <row r="907" spans="1:2">
      <c r="A907">
        <v>30599914</v>
      </c>
      <c r="B907" t="s">
        <v>1555</v>
      </c>
    </row>
    <row r="908" spans="1:2">
      <c r="A908">
        <v>30599915</v>
      </c>
      <c r="B908" t="s">
        <v>1556</v>
      </c>
    </row>
    <row r="909" spans="1:2">
      <c r="A909">
        <v>30599916</v>
      </c>
      <c r="B909" t="s">
        <v>1557</v>
      </c>
    </row>
    <row r="910" spans="1:2">
      <c r="A910">
        <v>30599917</v>
      </c>
      <c r="B910" t="s">
        <v>1558</v>
      </c>
    </row>
    <row r="911" spans="1:2">
      <c r="A911">
        <v>30599918</v>
      </c>
      <c r="B911" t="s">
        <v>1559</v>
      </c>
    </row>
    <row r="912" spans="1:2">
      <c r="A912">
        <v>30599919</v>
      </c>
      <c r="B912" t="s">
        <v>1560</v>
      </c>
    </row>
    <row r="913" spans="1:2">
      <c r="A913">
        <v>30599920</v>
      </c>
      <c r="B913" t="s">
        <v>1561</v>
      </c>
    </row>
    <row r="914" spans="1:2">
      <c r="A914">
        <v>30599921</v>
      </c>
      <c r="B914" t="s">
        <v>1562</v>
      </c>
    </row>
    <row r="915" spans="1:2">
      <c r="A915">
        <v>30599922</v>
      </c>
      <c r="B915" t="s">
        <v>1563</v>
      </c>
    </row>
    <row r="916" spans="1:2">
      <c r="A916">
        <v>30599923</v>
      </c>
      <c r="B916" t="s">
        <v>1564</v>
      </c>
    </row>
    <row r="917" spans="1:2">
      <c r="A917">
        <v>30599924</v>
      </c>
      <c r="B917" t="s">
        <v>1565</v>
      </c>
    </row>
    <row r="918" spans="1:2">
      <c r="A918">
        <v>30599925</v>
      </c>
      <c r="B918" t="s">
        <v>1566</v>
      </c>
    </row>
    <row r="919" spans="1:2">
      <c r="A919">
        <v>30599926</v>
      </c>
      <c r="B919" t="s">
        <v>1567</v>
      </c>
    </row>
    <row r="920" spans="1:2">
      <c r="A920">
        <v>30599927</v>
      </c>
      <c r="B920" t="s">
        <v>1568</v>
      </c>
    </row>
    <row r="921" spans="1:2">
      <c r="A921">
        <v>30500310</v>
      </c>
      <c r="B921" t="s">
        <v>1517</v>
      </c>
    </row>
    <row r="922" spans="1:2">
      <c r="A922">
        <v>30500311</v>
      </c>
      <c r="B922" t="s">
        <v>1518</v>
      </c>
    </row>
    <row r="923" spans="1:2">
      <c r="A923">
        <v>30500312</v>
      </c>
      <c r="B923" t="s">
        <v>1519</v>
      </c>
    </row>
    <row r="924" spans="1:2">
      <c r="A924">
        <v>30500313</v>
      </c>
      <c r="B924" t="s">
        <v>1520</v>
      </c>
    </row>
    <row r="925" spans="1:2">
      <c r="A925">
        <v>30500314</v>
      </c>
      <c r="B925" t="s">
        <v>1521</v>
      </c>
    </row>
    <row r="926" spans="1:2">
      <c r="A926">
        <v>30500315</v>
      </c>
      <c r="B926" t="s">
        <v>1522</v>
      </c>
    </row>
    <row r="927" spans="1:2">
      <c r="A927">
        <v>30500316</v>
      </c>
      <c r="B927" t="s">
        <v>1523</v>
      </c>
    </row>
    <row r="928" spans="1:2">
      <c r="A928">
        <v>30500317</v>
      </c>
      <c r="B928" t="s">
        <v>1524</v>
      </c>
    </row>
    <row r="929" spans="1:2">
      <c r="A929">
        <v>30500410</v>
      </c>
      <c r="B929" t="s">
        <v>1534</v>
      </c>
    </row>
    <row r="930" spans="1:2">
      <c r="A930">
        <v>30500411</v>
      </c>
      <c r="B930" t="s">
        <v>1535</v>
      </c>
    </row>
    <row r="931" spans="1:2">
      <c r="A931">
        <v>30500412</v>
      </c>
      <c r="B931" t="s">
        <v>1536</v>
      </c>
    </row>
    <row r="932" spans="1:2">
      <c r="A932">
        <v>30500413</v>
      </c>
      <c r="B932" t="s">
        <v>1537</v>
      </c>
    </row>
    <row r="933" spans="1:2">
      <c r="A933">
        <v>30500414</v>
      </c>
      <c r="B933" t="s">
        <v>1538</v>
      </c>
    </row>
    <row r="934" spans="1:2">
      <c r="A934">
        <v>30500415</v>
      </c>
      <c r="B934" t="s">
        <v>1539</v>
      </c>
    </row>
    <row r="935" spans="1:2">
      <c r="A935">
        <v>30500416</v>
      </c>
      <c r="B935" t="s">
        <v>1540</v>
      </c>
    </row>
    <row r="936" spans="1:2">
      <c r="A936">
        <v>30500417</v>
      </c>
      <c r="B936" t="s">
        <v>1541</v>
      </c>
    </row>
    <row r="937" spans="1:2">
      <c r="A937">
        <v>30599928</v>
      </c>
      <c r="B937" t="s">
        <v>1569</v>
      </c>
    </row>
    <row r="938" spans="1:2">
      <c r="A938">
        <v>30599929</v>
      </c>
      <c r="B938" t="s">
        <v>1570</v>
      </c>
    </row>
    <row r="939" spans="1:2">
      <c r="A939">
        <v>30599930</v>
      </c>
      <c r="B939" t="s">
        <v>1571</v>
      </c>
    </row>
    <row r="940" spans="1:2">
      <c r="A940">
        <v>30599931</v>
      </c>
      <c r="B940" t="s">
        <v>1572</v>
      </c>
    </row>
    <row r="941" spans="1:2">
      <c r="A941">
        <v>30599932</v>
      </c>
      <c r="B941" t="s">
        <v>1573</v>
      </c>
    </row>
    <row r="942" spans="1:2">
      <c r="A942">
        <v>30599933</v>
      </c>
      <c r="B942" t="s">
        <v>1574</v>
      </c>
    </row>
    <row r="943" spans="1:2">
      <c r="A943">
        <v>30599934</v>
      </c>
      <c r="B943" t="s">
        <v>1575</v>
      </c>
    </row>
    <row r="944" spans="1:2">
      <c r="A944">
        <v>30599935</v>
      </c>
      <c r="B944" t="s">
        <v>1576</v>
      </c>
    </row>
    <row r="945" spans="1:2">
      <c r="A945">
        <v>31000501</v>
      </c>
      <c r="B945" t="s">
        <v>1577</v>
      </c>
    </row>
    <row r="946" spans="1:2">
      <c r="A946">
        <v>31000502</v>
      </c>
      <c r="B946" t="s">
        <v>1578</v>
      </c>
    </row>
    <row r="947" spans="1:2">
      <c r="A947">
        <v>31000503</v>
      </c>
      <c r="B947" t="s">
        <v>1579</v>
      </c>
    </row>
    <row r="948" spans="1:2">
      <c r="A948">
        <v>31000504</v>
      </c>
      <c r="B948" t="s">
        <v>1580</v>
      </c>
    </row>
    <row r="949" spans="1:2">
      <c r="A949">
        <v>31000505</v>
      </c>
      <c r="B949" t="s">
        <v>1581</v>
      </c>
    </row>
    <row r="950" spans="1:2">
      <c r="A950">
        <v>31000506</v>
      </c>
      <c r="B950" t="s">
        <v>1582</v>
      </c>
    </row>
    <row r="951" spans="1:2">
      <c r="A951">
        <v>31000507</v>
      </c>
      <c r="B951" t="s">
        <v>1583</v>
      </c>
    </row>
    <row r="952" spans="1:2">
      <c r="A952">
        <v>31000508</v>
      </c>
      <c r="B952" t="s">
        <v>1584</v>
      </c>
    </row>
    <row r="953" spans="1:2">
      <c r="A953">
        <v>31000509</v>
      </c>
      <c r="B953" t="s">
        <v>1585</v>
      </c>
    </row>
    <row r="954" spans="1:2">
      <c r="A954">
        <v>31000510</v>
      </c>
      <c r="B954" t="s">
        <v>1586</v>
      </c>
    </row>
    <row r="955" spans="1:2">
      <c r="A955">
        <v>31000511</v>
      </c>
      <c r="B955" t="s">
        <v>1587</v>
      </c>
    </row>
    <row r="956" spans="1:2">
      <c r="A956">
        <v>31000512</v>
      </c>
      <c r="B956" t="s">
        <v>1588</v>
      </c>
    </row>
    <row r="957" spans="1:2">
      <c r="A957">
        <v>31000513</v>
      </c>
      <c r="B957" t="s">
        <v>1589</v>
      </c>
    </row>
    <row r="958" spans="1:2">
      <c r="A958">
        <v>31000514</v>
      </c>
      <c r="B958" t="s">
        <v>1590</v>
      </c>
    </row>
    <row r="959" spans="1:2">
      <c r="A959">
        <v>31000515</v>
      </c>
      <c r="B959" t="s">
        <v>1591</v>
      </c>
    </row>
    <row r="960" spans="1:2">
      <c r="A960">
        <v>31000516</v>
      </c>
      <c r="B960" t="s">
        <v>1592</v>
      </c>
    </row>
    <row r="961" spans="1:2">
      <c r="A961">
        <v>31000517</v>
      </c>
      <c r="B961" t="s">
        <v>1593</v>
      </c>
    </row>
    <row r="962" spans="1:2">
      <c r="A962">
        <v>31000518</v>
      </c>
      <c r="B962" t="s">
        <v>1594</v>
      </c>
    </row>
    <row r="963" spans="1:2">
      <c r="A963">
        <v>31000519</v>
      </c>
      <c r="B963" t="s">
        <v>1595</v>
      </c>
    </row>
    <row r="964" spans="1:2">
      <c r="A964">
        <v>31000520</v>
      </c>
      <c r="B964" t="s">
        <v>1596</v>
      </c>
    </row>
    <row r="965" spans="1:2">
      <c r="A965">
        <v>31000521</v>
      </c>
      <c r="B965" t="s">
        <v>1597</v>
      </c>
    </row>
    <row r="966" spans="1:2">
      <c r="A966">
        <v>31000522</v>
      </c>
      <c r="B966" t="s">
        <v>1598</v>
      </c>
    </row>
    <row r="967" spans="1:2">
      <c r="A967">
        <v>31000523</v>
      </c>
      <c r="B967" t="s">
        <v>1599</v>
      </c>
    </row>
    <row r="968" spans="1:2">
      <c r="A968">
        <v>31000524</v>
      </c>
      <c r="B968" t="s">
        <v>1600</v>
      </c>
    </row>
    <row r="969" spans="1:2">
      <c r="A969">
        <v>31000525</v>
      </c>
      <c r="B969" t="s">
        <v>1601</v>
      </c>
    </row>
    <row r="970" spans="1:2">
      <c r="A970">
        <v>31000526</v>
      </c>
      <c r="B970" t="s">
        <v>1602</v>
      </c>
    </row>
    <row r="971" spans="1:2">
      <c r="A971">
        <v>31000527</v>
      </c>
      <c r="B971" t="s">
        <v>1603</v>
      </c>
    </row>
    <row r="972" spans="1:2">
      <c r="A972">
        <v>31000528</v>
      </c>
      <c r="B972" t="s">
        <v>1604</v>
      </c>
    </row>
    <row r="973" spans="1:2">
      <c r="A973">
        <v>31000529</v>
      </c>
      <c r="B973" t="s">
        <v>1605</v>
      </c>
    </row>
    <row r="974" spans="1:2">
      <c r="A974">
        <v>31000530</v>
      </c>
      <c r="B974" t="s">
        <v>1606</v>
      </c>
    </row>
    <row r="975" spans="1:2">
      <c r="A975">
        <v>31000531</v>
      </c>
      <c r="B975" t="s">
        <v>1607</v>
      </c>
    </row>
    <row r="976" spans="1:2">
      <c r="A976">
        <v>31000532</v>
      </c>
      <c r="B976" t="s">
        <v>1608</v>
      </c>
    </row>
    <row r="977" spans="1:2">
      <c r="A977">
        <v>32000601</v>
      </c>
      <c r="B977" t="s">
        <v>1609</v>
      </c>
    </row>
    <row r="978" spans="1:2">
      <c r="A978">
        <v>32000602</v>
      </c>
      <c r="B978" t="s">
        <v>1610</v>
      </c>
    </row>
    <row r="979" spans="1:2">
      <c r="A979">
        <v>32000603</v>
      </c>
      <c r="B979" t="s">
        <v>1611</v>
      </c>
    </row>
    <row r="980" spans="1:2">
      <c r="A980">
        <v>32000604</v>
      </c>
      <c r="B980" t="s">
        <v>1612</v>
      </c>
    </row>
    <row r="981" spans="1:2">
      <c r="A981">
        <v>32000605</v>
      </c>
      <c r="B981" t="s">
        <v>1613</v>
      </c>
    </row>
    <row r="982" spans="1:2">
      <c r="A982">
        <v>32000606</v>
      </c>
      <c r="B982" t="s">
        <v>1614</v>
      </c>
    </row>
    <row r="983" spans="1:2">
      <c r="A983">
        <v>32000607</v>
      </c>
      <c r="B983" t="s">
        <v>1615</v>
      </c>
    </row>
    <row r="984" spans="1:2">
      <c r="A984">
        <v>32000608</v>
      </c>
      <c r="B984" t="s">
        <v>1616</v>
      </c>
    </row>
    <row r="985" spans="1:2">
      <c r="A985">
        <v>32000609</v>
      </c>
      <c r="B985" t="s">
        <v>1617</v>
      </c>
    </row>
    <row r="986" spans="1:2">
      <c r="A986">
        <v>32000610</v>
      </c>
      <c r="B986" t="s">
        <v>1618</v>
      </c>
    </row>
    <row r="987" spans="1:2">
      <c r="A987">
        <v>32000611</v>
      </c>
      <c r="B987" t="s">
        <v>1619</v>
      </c>
    </row>
    <row r="988" spans="1:2">
      <c r="A988">
        <v>32000612</v>
      </c>
      <c r="B988" t="s">
        <v>1620</v>
      </c>
    </row>
    <row r="989" spans="1:2">
      <c r="A989">
        <v>32000613</v>
      </c>
      <c r="B989" t="s">
        <v>1621</v>
      </c>
    </row>
    <row r="990" spans="1:2">
      <c r="A990">
        <v>32000614</v>
      </c>
      <c r="B990" t="s">
        <v>1622</v>
      </c>
    </row>
    <row r="991" spans="1:2">
      <c r="A991">
        <v>32000615</v>
      </c>
      <c r="B991" t="s">
        <v>1623</v>
      </c>
    </row>
    <row r="992" spans="1:2">
      <c r="A992">
        <v>32000616</v>
      </c>
      <c r="B992" t="s">
        <v>1624</v>
      </c>
    </row>
    <row r="993" spans="1:2">
      <c r="A993">
        <v>32000617</v>
      </c>
      <c r="B993" t="s">
        <v>1625</v>
      </c>
    </row>
    <row r="994" spans="1:2">
      <c r="A994">
        <v>32500701</v>
      </c>
      <c r="B994" t="s">
        <v>1626</v>
      </c>
    </row>
    <row r="995" spans="1:2">
      <c r="A995">
        <v>32500702</v>
      </c>
      <c r="B995" t="s">
        <v>1627</v>
      </c>
    </row>
    <row r="996" spans="1:2">
      <c r="A996">
        <v>32500703</v>
      </c>
      <c r="B996" t="s">
        <v>1628</v>
      </c>
    </row>
    <row r="997" spans="1:2">
      <c r="A997">
        <v>32500704</v>
      </c>
      <c r="B997" t="s">
        <v>1629</v>
      </c>
    </row>
    <row r="998" spans="1:2">
      <c r="A998">
        <v>32500705</v>
      </c>
      <c r="B998" t="s">
        <v>1630</v>
      </c>
    </row>
    <row r="999" spans="1:2">
      <c r="A999">
        <v>32500706</v>
      </c>
      <c r="B999" t="s">
        <v>1631</v>
      </c>
    </row>
    <row r="1000" spans="1:2">
      <c r="A1000">
        <v>32500707</v>
      </c>
      <c r="B1000" t="s">
        <v>1632</v>
      </c>
    </row>
    <row r="1001" spans="1:2">
      <c r="A1001">
        <v>32500708</v>
      </c>
      <c r="B1001" t="s">
        <v>1633</v>
      </c>
    </row>
    <row r="1002" spans="1:2">
      <c r="A1002">
        <v>32500709</v>
      </c>
      <c r="B1002" t="s">
        <v>1634</v>
      </c>
    </row>
    <row r="1003" spans="1:2">
      <c r="A1003">
        <v>32500710</v>
      </c>
      <c r="B1003" t="s">
        <v>1627</v>
      </c>
    </row>
    <row r="1004" spans="1:2">
      <c r="A1004">
        <v>32500711</v>
      </c>
      <c r="B1004" t="s">
        <v>1635</v>
      </c>
    </row>
    <row r="1005" spans="1:2">
      <c r="A1005">
        <v>32500712</v>
      </c>
      <c r="B1005" t="s">
        <v>1636</v>
      </c>
    </row>
    <row r="1006" spans="1:2">
      <c r="A1006">
        <v>32500713</v>
      </c>
      <c r="B1006" t="s">
        <v>1628</v>
      </c>
    </row>
    <row r="1007" spans="1:2">
      <c r="A1007">
        <v>32500714</v>
      </c>
      <c r="B1007" t="s">
        <v>1629</v>
      </c>
    </row>
    <row r="1008" spans="1:2">
      <c r="A1008">
        <v>32500715</v>
      </c>
      <c r="B1008" t="s">
        <v>1630</v>
      </c>
    </row>
    <row r="1009" spans="1:2">
      <c r="A1009">
        <v>32500716</v>
      </c>
      <c r="B1009" t="s">
        <v>1631</v>
      </c>
    </row>
    <row r="1010" spans="1:2">
      <c r="A1010">
        <v>32500801</v>
      </c>
      <c r="B1010" t="s">
        <v>1637</v>
      </c>
    </row>
    <row r="1011" spans="1:2">
      <c r="A1011">
        <v>32500802</v>
      </c>
      <c r="B1011" t="s">
        <v>1638</v>
      </c>
    </row>
    <row r="1012" spans="1:2">
      <c r="A1012">
        <v>32500803</v>
      </c>
      <c r="B1012" t="s">
        <v>1639</v>
      </c>
    </row>
    <row r="1013" spans="1:2">
      <c r="A1013">
        <v>32500804</v>
      </c>
      <c r="B1013" t="s">
        <v>1640</v>
      </c>
    </row>
    <row r="1014" spans="1:2">
      <c r="A1014">
        <v>32500805</v>
      </c>
      <c r="B1014" t="s">
        <v>1641</v>
      </c>
    </row>
    <row r="1015" spans="1:2">
      <c r="A1015">
        <v>32500806</v>
      </c>
      <c r="B1015" t="s">
        <v>1642</v>
      </c>
    </row>
    <row r="1016" spans="1:2">
      <c r="A1016">
        <v>33000901</v>
      </c>
      <c r="B1016" t="s">
        <v>1643</v>
      </c>
    </row>
    <row r="1017" spans="1:2">
      <c r="A1017">
        <v>33000902</v>
      </c>
      <c r="B1017" t="s">
        <v>1644</v>
      </c>
    </row>
    <row r="1018" spans="1:2">
      <c r="A1018">
        <v>33000903</v>
      </c>
      <c r="B1018" t="s">
        <v>1645</v>
      </c>
    </row>
    <row r="1019" spans="1:2">
      <c r="A1019">
        <v>33000904</v>
      </c>
      <c r="B1019" t="s">
        <v>1646</v>
      </c>
    </row>
    <row r="1020" spans="1:2">
      <c r="A1020">
        <v>33000905</v>
      </c>
      <c r="B1020" t="s">
        <v>1647</v>
      </c>
    </row>
    <row r="1021" spans="1:2">
      <c r="A1021">
        <v>33000906</v>
      </c>
      <c r="B1021" t="s">
        <v>1648</v>
      </c>
    </row>
    <row r="1022" spans="1:2">
      <c r="A1022">
        <v>39901001</v>
      </c>
      <c r="B1022" t="s">
        <v>1649</v>
      </c>
    </row>
    <row r="1023" spans="1:2">
      <c r="A1023" t="s">
        <v>2250</v>
      </c>
      <c r="B1023" t="s">
        <v>2251</v>
      </c>
    </row>
    <row r="1024" spans="1:2">
      <c r="A1024" t="s">
        <v>2252</v>
      </c>
      <c r="B1024" t="s">
        <v>2253</v>
      </c>
    </row>
    <row r="1025" spans="1:2">
      <c r="A1025" t="s">
        <v>2254</v>
      </c>
      <c r="B1025" t="s">
        <v>2255</v>
      </c>
    </row>
    <row r="1026" spans="1:2">
      <c r="A1026" t="s">
        <v>2256</v>
      </c>
      <c r="B1026" t="s">
        <v>2257</v>
      </c>
    </row>
    <row r="1027" spans="1:2">
      <c r="A1027" t="s">
        <v>2258</v>
      </c>
      <c r="B1027" t="s">
        <v>2259</v>
      </c>
    </row>
    <row r="1028" spans="1:2">
      <c r="A1028" t="s">
        <v>2260</v>
      </c>
      <c r="B1028" t="s">
        <v>2261</v>
      </c>
    </row>
    <row r="1029" spans="1:2">
      <c r="A1029" t="s">
        <v>2262</v>
      </c>
      <c r="B1029" t="s">
        <v>2263</v>
      </c>
    </row>
    <row r="1030" spans="1:2">
      <c r="A1030" t="s">
        <v>2264</v>
      </c>
      <c r="B1030" t="s">
        <v>2265</v>
      </c>
    </row>
    <row r="1031" spans="1:2">
      <c r="A1031" t="s">
        <v>2266</v>
      </c>
      <c r="B1031" t="s">
        <v>2267</v>
      </c>
    </row>
    <row r="1032" spans="1:2">
      <c r="A1032" t="s">
        <v>2268</v>
      </c>
      <c r="B1032" t="s">
        <v>2269</v>
      </c>
    </row>
    <row r="1033" spans="1:2">
      <c r="A1033" t="s">
        <v>2270</v>
      </c>
      <c r="B1033" t="s">
        <v>2271</v>
      </c>
    </row>
    <row r="1034" spans="1:2">
      <c r="A1034" t="s">
        <v>2272</v>
      </c>
      <c r="B1034" t="s">
        <v>2273</v>
      </c>
    </row>
    <row r="1035" spans="1:2">
      <c r="A1035" t="s">
        <v>2274</v>
      </c>
      <c r="B1035" t="s">
        <v>2275</v>
      </c>
    </row>
    <row r="1036" spans="1:2">
      <c r="A1036" t="s">
        <v>2276</v>
      </c>
      <c r="B1036" t="s">
        <v>2277</v>
      </c>
    </row>
    <row r="1037" spans="1:2">
      <c r="A1037" t="s">
        <v>2278</v>
      </c>
      <c r="B1037" t="s">
        <v>2279</v>
      </c>
    </row>
    <row r="1038" spans="1:2">
      <c r="A1038" t="s">
        <v>2280</v>
      </c>
      <c r="B1038" t="s">
        <v>2281</v>
      </c>
    </row>
    <row r="1039" spans="1:2">
      <c r="A1039" t="s">
        <v>2282</v>
      </c>
      <c r="B1039" t="s">
        <v>2283</v>
      </c>
    </row>
    <row r="1040" spans="1:2">
      <c r="A1040" t="s">
        <v>2284</v>
      </c>
      <c r="B1040" t="s">
        <v>2285</v>
      </c>
    </row>
    <row r="1041" spans="1:2">
      <c r="A1041">
        <v>40100101</v>
      </c>
      <c r="B1041" t="s">
        <v>1650</v>
      </c>
    </row>
    <row r="1042" spans="1:2">
      <c r="A1042">
        <v>40100201</v>
      </c>
      <c r="B1042" t="s">
        <v>1651</v>
      </c>
    </row>
    <row r="1043" spans="1:2">
      <c r="A1043">
        <v>40199901</v>
      </c>
      <c r="B1043" t="s">
        <v>1652</v>
      </c>
    </row>
    <row r="1044" spans="1:2">
      <c r="A1044">
        <v>40500301</v>
      </c>
      <c r="B1044" t="s">
        <v>1653</v>
      </c>
    </row>
    <row r="1045" spans="1:2">
      <c r="A1045">
        <v>40500302</v>
      </c>
      <c r="B1045" t="s">
        <v>1654</v>
      </c>
    </row>
    <row r="1046" spans="1:2">
      <c r="A1046">
        <v>40500303</v>
      </c>
      <c r="B1046" t="s">
        <v>1655</v>
      </c>
    </row>
    <row r="1047" spans="1:2">
      <c r="A1047">
        <v>40500304</v>
      </c>
      <c r="B1047" t="s">
        <v>1656</v>
      </c>
    </row>
    <row r="1048" spans="1:2">
      <c r="A1048">
        <v>40500305</v>
      </c>
      <c r="B1048" t="s">
        <v>1657</v>
      </c>
    </row>
    <row r="1049" spans="1:2">
      <c r="A1049">
        <v>40500306</v>
      </c>
      <c r="B1049" t="s">
        <v>1658</v>
      </c>
    </row>
    <row r="1050" spans="1:2">
      <c r="A1050">
        <v>40500307</v>
      </c>
      <c r="B1050" t="s">
        <v>1657</v>
      </c>
    </row>
    <row r="1051" spans="1:2">
      <c r="A1051">
        <v>40500308</v>
      </c>
      <c r="B1051" t="s">
        <v>1659</v>
      </c>
    </row>
    <row r="1052" spans="1:2">
      <c r="A1052">
        <v>40500309</v>
      </c>
      <c r="B1052" t="s">
        <v>1660</v>
      </c>
    </row>
    <row r="1053" spans="1:2">
      <c r="A1053">
        <v>40500401</v>
      </c>
      <c r="B1053" t="s">
        <v>1669</v>
      </c>
    </row>
    <row r="1054" spans="1:2">
      <c r="A1054">
        <v>40500402</v>
      </c>
      <c r="B1054" t="s">
        <v>1670</v>
      </c>
    </row>
    <row r="1055" spans="1:2">
      <c r="A1055">
        <v>40500403</v>
      </c>
      <c r="B1055" t="s">
        <v>1671</v>
      </c>
    </row>
    <row r="1056" spans="1:2">
      <c r="A1056">
        <v>40500404</v>
      </c>
      <c r="B1056" t="s">
        <v>1672</v>
      </c>
    </row>
    <row r="1057" spans="1:2">
      <c r="A1057">
        <v>40500405</v>
      </c>
      <c r="B1057" t="s">
        <v>1673</v>
      </c>
    </row>
    <row r="1058" spans="1:2">
      <c r="A1058">
        <v>40500406</v>
      </c>
      <c r="B1058" t="s">
        <v>1674</v>
      </c>
    </row>
    <row r="1059" spans="1:2">
      <c r="A1059">
        <v>40500407</v>
      </c>
      <c r="B1059" t="s">
        <v>1675</v>
      </c>
    </row>
    <row r="1060" spans="1:2">
      <c r="A1060">
        <v>40500408</v>
      </c>
      <c r="B1060" t="s">
        <v>1676</v>
      </c>
    </row>
    <row r="1061" spans="1:2">
      <c r="A1061">
        <v>40500409</v>
      </c>
      <c r="B1061" t="s">
        <v>1677</v>
      </c>
    </row>
    <row r="1062" spans="1:2">
      <c r="A1062">
        <v>40599901</v>
      </c>
      <c r="B1062" t="s">
        <v>1686</v>
      </c>
    </row>
    <row r="1063" spans="1:2">
      <c r="A1063">
        <v>40599902</v>
      </c>
      <c r="B1063" t="s">
        <v>1687</v>
      </c>
    </row>
    <row r="1064" spans="1:2">
      <c r="A1064">
        <v>40599903</v>
      </c>
      <c r="B1064" t="s">
        <v>1688</v>
      </c>
    </row>
    <row r="1065" spans="1:2">
      <c r="A1065">
        <v>40599904</v>
      </c>
      <c r="B1065" t="s">
        <v>1689</v>
      </c>
    </row>
    <row r="1066" spans="1:2">
      <c r="A1066">
        <v>40599905</v>
      </c>
      <c r="B1066" t="s">
        <v>1690</v>
      </c>
    </row>
    <row r="1067" spans="1:2">
      <c r="A1067">
        <v>40599906</v>
      </c>
      <c r="B1067" t="s">
        <v>1691</v>
      </c>
    </row>
    <row r="1068" spans="1:2">
      <c r="A1068">
        <v>40599907</v>
      </c>
      <c r="B1068" t="s">
        <v>1692</v>
      </c>
    </row>
    <row r="1069" spans="1:2">
      <c r="A1069">
        <v>40599908</v>
      </c>
      <c r="B1069" t="s">
        <v>1693</v>
      </c>
    </row>
    <row r="1070" spans="1:2">
      <c r="A1070">
        <v>40599909</v>
      </c>
      <c r="B1070" t="s">
        <v>1694</v>
      </c>
    </row>
    <row r="1071" spans="1:2">
      <c r="A1071">
        <v>40599910</v>
      </c>
      <c r="B1071" t="s">
        <v>1695</v>
      </c>
    </row>
    <row r="1072" spans="1:2">
      <c r="A1072">
        <v>40599911</v>
      </c>
      <c r="B1072" t="s">
        <v>1696</v>
      </c>
    </row>
    <row r="1073" spans="1:2">
      <c r="A1073">
        <v>40599912</v>
      </c>
      <c r="B1073" t="s">
        <v>1697</v>
      </c>
    </row>
    <row r="1074" spans="1:2">
      <c r="A1074">
        <v>40599913</v>
      </c>
      <c r="B1074" t="s">
        <v>1698</v>
      </c>
    </row>
    <row r="1075" spans="1:2">
      <c r="A1075">
        <v>40599914</v>
      </c>
      <c r="B1075" t="s">
        <v>1699</v>
      </c>
    </row>
    <row r="1076" spans="1:2">
      <c r="A1076">
        <v>40599915</v>
      </c>
      <c r="B1076" t="s">
        <v>1700</v>
      </c>
    </row>
    <row r="1077" spans="1:2">
      <c r="A1077">
        <v>40599916</v>
      </c>
      <c r="B1077" t="s">
        <v>1701</v>
      </c>
    </row>
    <row r="1078" spans="1:2">
      <c r="A1078">
        <v>40599917</v>
      </c>
      <c r="B1078" t="s">
        <v>1702</v>
      </c>
    </row>
    <row r="1079" spans="1:2">
      <c r="A1079">
        <v>40599918</v>
      </c>
      <c r="B1079" t="s">
        <v>1703</v>
      </c>
    </row>
    <row r="1080" spans="1:2">
      <c r="A1080">
        <v>40599919</v>
      </c>
      <c r="B1080" t="s">
        <v>1704</v>
      </c>
    </row>
    <row r="1081" spans="1:2">
      <c r="A1081">
        <v>40599920</v>
      </c>
      <c r="B1081" t="s">
        <v>1705</v>
      </c>
    </row>
    <row r="1082" spans="1:2">
      <c r="A1082">
        <v>40599921</v>
      </c>
      <c r="B1082" t="s">
        <v>1706</v>
      </c>
    </row>
    <row r="1083" spans="1:2">
      <c r="A1083">
        <v>40599922</v>
      </c>
      <c r="B1083" t="s">
        <v>1707</v>
      </c>
    </row>
    <row r="1084" spans="1:2">
      <c r="A1084">
        <v>40599923</v>
      </c>
      <c r="B1084" t="s">
        <v>1708</v>
      </c>
    </row>
    <row r="1085" spans="1:2">
      <c r="A1085">
        <v>40599924</v>
      </c>
      <c r="B1085" t="s">
        <v>1709</v>
      </c>
    </row>
    <row r="1086" spans="1:2">
      <c r="A1086">
        <v>40599925</v>
      </c>
      <c r="B1086" t="s">
        <v>1710</v>
      </c>
    </row>
    <row r="1087" spans="1:2">
      <c r="A1087">
        <v>40599926</v>
      </c>
      <c r="B1087" t="s">
        <v>1711</v>
      </c>
    </row>
    <row r="1088" spans="1:2">
      <c r="A1088">
        <v>40599927</v>
      </c>
      <c r="B1088" t="s">
        <v>1712</v>
      </c>
    </row>
    <row r="1089" spans="1:2">
      <c r="A1089">
        <v>40500310</v>
      </c>
      <c r="B1089" t="s">
        <v>1661</v>
      </c>
    </row>
    <row r="1090" spans="1:2">
      <c r="A1090">
        <v>40500311</v>
      </c>
      <c r="B1090" t="s">
        <v>1662</v>
      </c>
    </row>
    <row r="1091" spans="1:2">
      <c r="A1091">
        <v>40500312</v>
      </c>
      <c r="B1091" t="s">
        <v>1663</v>
      </c>
    </row>
    <row r="1092" spans="1:2">
      <c r="A1092">
        <v>40500313</v>
      </c>
      <c r="B1092" t="s">
        <v>1664</v>
      </c>
    </row>
    <row r="1093" spans="1:2">
      <c r="A1093">
        <v>40500314</v>
      </c>
      <c r="B1093" t="s">
        <v>1665</v>
      </c>
    </row>
    <row r="1094" spans="1:2">
      <c r="A1094">
        <v>40500315</v>
      </c>
      <c r="B1094" t="s">
        <v>1666</v>
      </c>
    </row>
    <row r="1095" spans="1:2">
      <c r="A1095">
        <v>40500316</v>
      </c>
      <c r="B1095" t="s">
        <v>1667</v>
      </c>
    </row>
    <row r="1096" spans="1:2">
      <c r="A1096">
        <v>40500317</v>
      </c>
      <c r="B1096" t="s">
        <v>1668</v>
      </c>
    </row>
    <row r="1097" spans="1:2">
      <c r="A1097">
        <v>40500410</v>
      </c>
      <c r="B1097" t="s">
        <v>1678</v>
      </c>
    </row>
    <row r="1098" spans="1:2">
      <c r="A1098">
        <v>40500411</v>
      </c>
      <c r="B1098" t="s">
        <v>1679</v>
      </c>
    </row>
    <row r="1099" spans="1:2">
      <c r="A1099">
        <v>40500412</v>
      </c>
      <c r="B1099" t="s">
        <v>1680</v>
      </c>
    </row>
    <row r="1100" spans="1:2">
      <c r="A1100">
        <v>40500413</v>
      </c>
      <c r="B1100" t="s">
        <v>1681</v>
      </c>
    </row>
    <row r="1101" spans="1:2">
      <c r="A1101">
        <v>40500414</v>
      </c>
      <c r="B1101" t="s">
        <v>1682</v>
      </c>
    </row>
    <row r="1102" spans="1:2">
      <c r="A1102">
        <v>40500415</v>
      </c>
      <c r="B1102" t="s">
        <v>1683</v>
      </c>
    </row>
    <row r="1103" spans="1:2">
      <c r="A1103">
        <v>40500416</v>
      </c>
      <c r="B1103" t="s">
        <v>1684</v>
      </c>
    </row>
    <row r="1104" spans="1:2">
      <c r="A1104">
        <v>40500417</v>
      </c>
      <c r="B1104" t="s">
        <v>1685</v>
      </c>
    </row>
    <row r="1105" spans="1:2">
      <c r="A1105">
        <v>40599928</v>
      </c>
      <c r="B1105" t="s">
        <v>1713</v>
      </c>
    </row>
    <row r="1106" spans="1:2">
      <c r="A1106">
        <v>40599929</v>
      </c>
      <c r="B1106" t="s">
        <v>1714</v>
      </c>
    </row>
    <row r="1107" spans="1:2">
      <c r="A1107">
        <v>40599930</v>
      </c>
      <c r="B1107" t="s">
        <v>1715</v>
      </c>
    </row>
    <row r="1108" spans="1:2">
      <c r="A1108">
        <v>40599931</v>
      </c>
      <c r="B1108" t="s">
        <v>1716</v>
      </c>
    </row>
    <row r="1109" spans="1:2">
      <c r="A1109">
        <v>40599932</v>
      </c>
      <c r="B1109" t="s">
        <v>1717</v>
      </c>
    </row>
    <row r="1110" spans="1:2">
      <c r="A1110">
        <v>40599933</v>
      </c>
      <c r="B1110" t="s">
        <v>1718</v>
      </c>
    </row>
    <row r="1111" spans="1:2">
      <c r="A1111">
        <v>40599934</v>
      </c>
      <c r="B1111" t="s">
        <v>1719</v>
      </c>
    </row>
    <row r="1112" spans="1:2">
      <c r="A1112">
        <v>40599935</v>
      </c>
      <c r="B1112" t="s">
        <v>1720</v>
      </c>
    </row>
    <row r="1113" spans="1:2">
      <c r="A1113">
        <v>41000501</v>
      </c>
      <c r="B1113" t="s">
        <v>1721</v>
      </c>
    </row>
    <row r="1114" spans="1:2">
      <c r="A1114">
        <v>41000502</v>
      </c>
      <c r="B1114" t="s">
        <v>1722</v>
      </c>
    </row>
    <row r="1115" spans="1:2">
      <c r="A1115">
        <v>41000503</v>
      </c>
      <c r="B1115" t="s">
        <v>1723</v>
      </c>
    </row>
    <row r="1116" spans="1:2">
      <c r="A1116">
        <v>41000504</v>
      </c>
      <c r="B1116" t="s">
        <v>1724</v>
      </c>
    </row>
    <row r="1117" spans="1:2">
      <c r="A1117">
        <v>41000505</v>
      </c>
      <c r="B1117" t="s">
        <v>1725</v>
      </c>
    </row>
    <row r="1118" spans="1:2">
      <c r="A1118">
        <v>41000506</v>
      </c>
      <c r="B1118" t="s">
        <v>1726</v>
      </c>
    </row>
    <row r="1119" spans="1:2">
      <c r="A1119">
        <v>41000507</v>
      </c>
      <c r="B1119" t="s">
        <v>1727</v>
      </c>
    </row>
    <row r="1120" spans="1:2">
      <c r="A1120">
        <v>41000508</v>
      </c>
      <c r="B1120" t="s">
        <v>1728</v>
      </c>
    </row>
    <row r="1121" spans="1:2">
      <c r="A1121">
        <v>41000509</v>
      </c>
      <c r="B1121" t="s">
        <v>1729</v>
      </c>
    </row>
    <row r="1122" spans="1:2">
      <c r="A1122">
        <v>41000510</v>
      </c>
      <c r="B1122" t="s">
        <v>1730</v>
      </c>
    </row>
    <row r="1123" spans="1:2">
      <c r="A1123">
        <v>41000511</v>
      </c>
      <c r="B1123" t="s">
        <v>1731</v>
      </c>
    </row>
    <row r="1124" spans="1:2">
      <c r="A1124">
        <v>41000512</v>
      </c>
      <c r="B1124" t="s">
        <v>1732</v>
      </c>
    </row>
    <row r="1125" spans="1:2">
      <c r="A1125">
        <v>41000513</v>
      </c>
      <c r="B1125" t="s">
        <v>1733</v>
      </c>
    </row>
    <row r="1126" spans="1:2">
      <c r="A1126">
        <v>41000514</v>
      </c>
      <c r="B1126" t="s">
        <v>1734</v>
      </c>
    </row>
    <row r="1127" spans="1:2">
      <c r="A1127">
        <v>41000515</v>
      </c>
      <c r="B1127" t="s">
        <v>1735</v>
      </c>
    </row>
    <row r="1128" spans="1:2">
      <c r="A1128">
        <v>41000516</v>
      </c>
      <c r="B1128" t="s">
        <v>1736</v>
      </c>
    </row>
    <row r="1129" spans="1:2">
      <c r="A1129">
        <v>41000517</v>
      </c>
      <c r="B1129" t="s">
        <v>1737</v>
      </c>
    </row>
    <row r="1130" spans="1:2">
      <c r="A1130">
        <v>41000518</v>
      </c>
      <c r="B1130" t="s">
        <v>1738</v>
      </c>
    </row>
    <row r="1131" spans="1:2">
      <c r="A1131">
        <v>41000519</v>
      </c>
      <c r="B1131" t="s">
        <v>1739</v>
      </c>
    </row>
    <row r="1132" spans="1:2">
      <c r="A1132">
        <v>41000520</v>
      </c>
      <c r="B1132" t="s">
        <v>1740</v>
      </c>
    </row>
    <row r="1133" spans="1:2">
      <c r="A1133">
        <v>41000521</v>
      </c>
      <c r="B1133" t="s">
        <v>1741</v>
      </c>
    </row>
    <row r="1134" spans="1:2">
      <c r="A1134">
        <v>41000522</v>
      </c>
      <c r="B1134" t="s">
        <v>1742</v>
      </c>
    </row>
    <row r="1135" spans="1:2">
      <c r="A1135">
        <v>41000523</v>
      </c>
      <c r="B1135" t="s">
        <v>1743</v>
      </c>
    </row>
    <row r="1136" spans="1:2">
      <c r="A1136">
        <v>41000524</v>
      </c>
      <c r="B1136" t="s">
        <v>1744</v>
      </c>
    </row>
    <row r="1137" spans="1:2">
      <c r="A1137">
        <v>41000525</v>
      </c>
      <c r="B1137" t="s">
        <v>1745</v>
      </c>
    </row>
    <row r="1138" spans="1:2">
      <c r="A1138">
        <v>41000526</v>
      </c>
      <c r="B1138" t="s">
        <v>1746</v>
      </c>
    </row>
    <row r="1139" spans="1:2">
      <c r="A1139">
        <v>41000527</v>
      </c>
      <c r="B1139" t="s">
        <v>1747</v>
      </c>
    </row>
    <row r="1140" spans="1:2">
      <c r="A1140">
        <v>41000528</v>
      </c>
      <c r="B1140" t="s">
        <v>1748</v>
      </c>
    </row>
    <row r="1141" spans="1:2">
      <c r="A1141">
        <v>41000529</v>
      </c>
      <c r="B1141" t="s">
        <v>1749</v>
      </c>
    </row>
    <row r="1142" spans="1:2">
      <c r="A1142">
        <v>41000530</v>
      </c>
      <c r="B1142" t="s">
        <v>1750</v>
      </c>
    </row>
    <row r="1143" spans="1:2">
      <c r="A1143">
        <v>41000531</v>
      </c>
      <c r="B1143" t="s">
        <v>1751</v>
      </c>
    </row>
    <row r="1144" spans="1:2">
      <c r="A1144">
        <v>41000532</v>
      </c>
      <c r="B1144" t="s">
        <v>1752</v>
      </c>
    </row>
    <row r="1145" spans="1:2">
      <c r="A1145">
        <v>42000601</v>
      </c>
      <c r="B1145" t="s">
        <v>1753</v>
      </c>
    </row>
    <row r="1146" spans="1:2">
      <c r="A1146">
        <v>42000602</v>
      </c>
      <c r="B1146" t="s">
        <v>1754</v>
      </c>
    </row>
    <row r="1147" spans="1:2">
      <c r="A1147">
        <v>42000603</v>
      </c>
      <c r="B1147" t="s">
        <v>1755</v>
      </c>
    </row>
    <row r="1148" spans="1:2">
      <c r="A1148">
        <v>42000604</v>
      </c>
      <c r="B1148" t="s">
        <v>1756</v>
      </c>
    </row>
    <row r="1149" spans="1:2">
      <c r="A1149">
        <v>42000605</v>
      </c>
      <c r="B1149" t="s">
        <v>1757</v>
      </c>
    </row>
    <row r="1150" spans="1:2">
      <c r="A1150">
        <v>42000606</v>
      </c>
      <c r="B1150" t="s">
        <v>1758</v>
      </c>
    </row>
    <row r="1151" spans="1:2">
      <c r="A1151">
        <v>42000607</v>
      </c>
      <c r="B1151" t="s">
        <v>1759</v>
      </c>
    </row>
    <row r="1152" spans="1:2">
      <c r="A1152">
        <v>42000608</v>
      </c>
      <c r="B1152" t="s">
        <v>1760</v>
      </c>
    </row>
    <row r="1153" spans="1:2">
      <c r="A1153">
        <v>42000609</v>
      </c>
      <c r="B1153" t="s">
        <v>1761</v>
      </c>
    </row>
    <row r="1154" spans="1:2">
      <c r="A1154">
        <v>42000610</v>
      </c>
      <c r="B1154" t="s">
        <v>1762</v>
      </c>
    </row>
    <row r="1155" spans="1:2">
      <c r="A1155">
        <v>42000611</v>
      </c>
      <c r="B1155" t="s">
        <v>1763</v>
      </c>
    </row>
    <row r="1156" spans="1:2">
      <c r="A1156">
        <v>42000612</v>
      </c>
      <c r="B1156" t="s">
        <v>1764</v>
      </c>
    </row>
    <row r="1157" spans="1:2">
      <c r="A1157">
        <v>42000613</v>
      </c>
      <c r="B1157" t="s">
        <v>1765</v>
      </c>
    </row>
    <row r="1158" spans="1:2">
      <c r="A1158">
        <v>42000614</v>
      </c>
      <c r="B1158" t="s">
        <v>1766</v>
      </c>
    </row>
    <row r="1159" spans="1:2">
      <c r="A1159">
        <v>42000615</v>
      </c>
      <c r="B1159" t="s">
        <v>1767</v>
      </c>
    </row>
    <row r="1160" spans="1:2">
      <c r="A1160">
        <v>42000616</v>
      </c>
      <c r="B1160" t="s">
        <v>1768</v>
      </c>
    </row>
    <row r="1161" spans="1:2">
      <c r="A1161">
        <v>42000617</v>
      </c>
      <c r="B1161" t="s">
        <v>1769</v>
      </c>
    </row>
    <row r="1162" spans="1:2">
      <c r="A1162">
        <v>42500701</v>
      </c>
      <c r="B1162" t="s">
        <v>1770</v>
      </c>
    </row>
    <row r="1163" spans="1:2">
      <c r="A1163">
        <v>42500702</v>
      </c>
      <c r="B1163" t="s">
        <v>1771</v>
      </c>
    </row>
    <row r="1164" spans="1:2">
      <c r="A1164">
        <v>42500703</v>
      </c>
      <c r="B1164" t="s">
        <v>1772</v>
      </c>
    </row>
    <row r="1165" spans="1:2">
      <c r="A1165">
        <v>42500704</v>
      </c>
      <c r="B1165" t="s">
        <v>1773</v>
      </c>
    </row>
    <row r="1166" spans="1:2">
      <c r="A1166">
        <v>42500705</v>
      </c>
      <c r="B1166" t="s">
        <v>1774</v>
      </c>
    </row>
    <row r="1167" spans="1:2">
      <c r="A1167">
        <v>42500706</v>
      </c>
      <c r="B1167" t="s">
        <v>1775</v>
      </c>
    </row>
    <row r="1168" spans="1:2">
      <c r="A1168">
        <v>42500707</v>
      </c>
      <c r="B1168" t="s">
        <v>1776</v>
      </c>
    </row>
    <row r="1169" spans="1:2">
      <c r="A1169">
        <v>42500708</v>
      </c>
      <c r="B1169" t="s">
        <v>1777</v>
      </c>
    </row>
    <row r="1170" spans="1:2">
      <c r="A1170">
        <v>42500709</v>
      </c>
      <c r="B1170" t="s">
        <v>1778</v>
      </c>
    </row>
    <row r="1171" spans="1:2">
      <c r="A1171">
        <v>42500710</v>
      </c>
      <c r="B1171" t="s">
        <v>1771</v>
      </c>
    </row>
    <row r="1172" spans="1:2">
      <c r="A1172">
        <v>42500711</v>
      </c>
      <c r="B1172" t="s">
        <v>1779</v>
      </c>
    </row>
    <row r="1173" spans="1:2">
      <c r="A1173">
        <v>42500712</v>
      </c>
      <c r="B1173" t="s">
        <v>1780</v>
      </c>
    </row>
    <row r="1174" spans="1:2">
      <c r="A1174">
        <v>42500713</v>
      </c>
      <c r="B1174" t="s">
        <v>1772</v>
      </c>
    </row>
    <row r="1175" spans="1:2">
      <c r="A1175">
        <v>42500714</v>
      </c>
      <c r="B1175" t="s">
        <v>1773</v>
      </c>
    </row>
    <row r="1176" spans="1:2">
      <c r="A1176">
        <v>42500715</v>
      </c>
      <c r="B1176" t="s">
        <v>1774</v>
      </c>
    </row>
    <row r="1177" spans="1:2">
      <c r="A1177">
        <v>42500716</v>
      </c>
      <c r="B1177" t="s">
        <v>1775</v>
      </c>
    </row>
    <row r="1178" spans="1:2">
      <c r="A1178">
        <v>42500801</v>
      </c>
      <c r="B1178" t="s">
        <v>1781</v>
      </c>
    </row>
    <row r="1179" spans="1:2">
      <c r="A1179">
        <v>42500802</v>
      </c>
      <c r="B1179" t="s">
        <v>1782</v>
      </c>
    </row>
    <row r="1180" spans="1:2">
      <c r="A1180">
        <v>42500803</v>
      </c>
      <c r="B1180" t="s">
        <v>1783</v>
      </c>
    </row>
    <row r="1181" spans="1:2">
      <c r="A1181">
        <v>42500804</v>
      </c>
      <c r="B1181" t="s">
        <v>1784</v>
      </c>
    </row>
    <row r="1182" spans="1:2">
      <c r="A1182">
        <v>42500805</v>
      </c>
      <c r="B1182" t="s">
        <v>1785</v>
      </c>
    </row>
    <row r="1183" spans="1:2">
      <c r="A1183">
        <v>42500806</v>
      </c>
      <c r="B1183" t="s">
        <v>1786</v>
      </c>
    </row>
    <row r="1184" spans="1:2">
      <c r="A1184">
        <v>43000901</v>
      </c>
      <c r="B1184" t="s">
        <v>1787</v>
      </c>
    </row>
    <row r="1185" spans="1:2">
      <c r="A1185">
        <v>43000902</v>
      </c>
      <c r="B1185" t="s">
        <v>1788</v>
      </c>
    </row>
    <row r="1186" spans="1:2">
      <c r="A1186">
        <v>43000903</v>
      </c>
      <c r="B1186" t="s">
        <v>1789</v>
      </c>
    </row>
    <row r="1187" spans="1:2">
      <c r="A1187">
        <v>43000904</v>
      </c>
      <c r="B1187" t="s">
        <v>1790</v>
      </c>
    </row>
    <row r="1188" spans="1:2">
      <c r="A1188">
        <v>43000905</v>
      </c>
      <c r="B1188" t="s">
        <v>1791</v>
      </c>
    </row>
    <row r="1189" spans="1:2">
      <c r="A1189">
        <v>43000906</v>
      </c>
      <c r="B1189" t="s">
        <v>1792</v>
      </c>
    </row>
    <row r="1190" spans="1:2">
      <c r="A1190">
        <v>49901001</v>
      </c>
      <c r="B1190" t="s">
        <v>1793</v>
      </c>
    </row>
    <row r="1191" spans="1:2">
      <c r="A1191" t="s">
        <v>2286</v>
      </c>
      <c r="B1191" t="s">
        <v>2287</v>
      </c>
    </row>
    <row r="1192" spans="1:2">
      <c r="A1192" t="s">
        <v>2288</v>
      </c>
      <c r="B1192" t="s">
        <v>2289</v>
      </c>
    </row>
    <row r="1193" spans="1:2">
      <c r="A1193" t="s">
        <v>2290</v>
      </c>
      <c r="B1193" t="s">
        <v>2291</v>
      </c>
    </row>
    <row r="1194" spans="1:2">
      <c r="A1194" t="s">
        <v>2292</v>
      </c>
      <c r="B1194" t="s">
        <v>2293</v>
      </c>
    </row>
    <row r="1195" spans="1:2">
      <c r="A1195" t="s">
        <v>2294</v>
      </c>
      <c r="B1195" t="s">
        <v>2295</v>
      </c>
    </row>
    <row r="1196" spans="1:2">
      <c r="A1196" t="s">
        <v>2296</v>
      </c>
      <c r="B1196" t="s">
        <v>2297</v>
      </c>
    </row>
    <row r="1197" spans="1:2">
      <c r="A1197" t="s">
        <v>2298</v>
      </c>
      <c r="B1197" t="s">
        <v>2299</v>
      </c>
    </row>
    <row r="1198" spans="1:2">
      <c r="A1198" t="s">
        <v>2300</v>
      </c>
      <c r="B1198" t="s">
        <v>2301</v>
      </c>
    </row>
    <row r="1199" spans="1:2">
      <c r="A1199" t="s">
        <v>2302</v>
      </c>
      <c r="B1199" t="s">
        <v>2303</v>
      </c>
    </row>
    <row r="1200" spans="1:2">
      <c r="A1200" t="s">
        <v>2304</v>
      </c>
      <c r="B1200" t="s">
        <v>2305</v>
      </c>
    </row>
    <row r="1201" spans="1:2">
      <c r="A1201" t="s">
        <v>2306</v>
      </c>
      <c r="B1201" t="s">
        <v>2307</v>
      </c>
    </row>
    <row r="1202" spans="1:2">
      <c r="A1202" t="s">
        <v>2308</v>
      </c>
      <c r="B1202" t="s">
        <v>2309</v>
      </c>
    </row>
    <row r="1203" spans="1:2">
      <c r="A1203" t="s">
        <v>2310</v>
      </c>
      <c r="B1203" t="s">
        <v>2311</v>
      </c>
    </row>
    <row r="1204" spans="1:2">
      <c r="A1204" t="s">
        <v>2312</v>
      </c>
      <c r="B1204" t="s">
        <v>2313</v>
      </c>
    </row>
    <row r="1205" spans="1:2">
      <c r="A1205" t="s">
        <v>2314</v>
      </c>
      <c r="B1205" t="s">
        <v>2315</v>
      </c>
    </row>
    <row r="1206" spans="1:2">
      <c r="A1206" t="s">
        <v>2316</v>
      </c>
      <c r="B1206" t="s">
        <v>2317</v>
      </c>
    </row>
    <row r="1207" spans="1:2">
      <c r="A1207" t="s">
        <v>2318</v>
      </c>
      <c r="B1207" t="s">
        <v>2319</v>
      </c>
    </row>
    <row r="1208" spans="1:2">
      <c r="A1208" t="s">
        <v>2320</v>
      </c>
      <c r="B1208" t="s">
        <v>2321</v>
      </c>
    </row>
    <row r="1209" spans="1:2">
      <c r="A1209">
        <v>50100101</v>
      </c>
      <c r="B1209" t="s">
        <v>1794</v>
      </c>
    </row>
    <row r="1210" spans="1:2">
      <c r="A1210">
        <v>50100201</v>
      </c>
      <c r="B1210" t="s">
        <v>1795</v>
      </c>
    </row>
    <row r="1211" spans="1:2">
      <c r="A1211">
        <v>50199901</v>
      </c>
      <c r="B1211" t="s">
        <v>1796</v>
      </c>
    </row>
    <row r="1212" spans="1:2">
      <c r="A1212">
        <v>50500301</v>
      </c>
      <c r="B1212" t="s">
        <v>1797</v>
      </c>
    </row>
    <row r="1213" spans="1:2">
      <c r="A1213">
        <v>50500302</v>
      </c>
      <c r="B1213" t="s">
        <v>1798</v>
      </c>
    </row>
    <row r="1214" spans="1:2">
      <c r="A1214">
        <v>50500303</v>
      </c>
      <c r="B1214" t="s">
        <v>1799</v>
      </c>
    </row>
    <row r="1215" spans="1:2">
      <c r="A1215">
        <v>50500304</v>
      </c>
      <c r="B1215" t="s">
        <v>1800</v>
      </c>
    </row>
    <row r="1216" spans="1:2">
      <c r="A1216">
        <v>50500305</v>
      </c>
      <c r="B1216" t="s">
        <v>1801</v>
      </c>
    </row>
    <row r="1217" spans="1:2">
      <c r="A1217">
        <v>50500306</v>
      </c>
      <c r="B1217" t="s">
        <v>1802</v>
      </c>
    </row>
    <row r="1218" spans="1:2">
      <c r="A1218">
        <v>50500307</v>
      </c>
      <c r="B1218" t="s">
        <v>1801</v>
      </c>
    </row>
    <row r="1219" spans="1:2">
      <c r="A1219">
        <v>50500308</v>
      </c>
      <c r="B1219" t="s">
        <v>1803</v>
      </c>
    </row>
    <row r="1220" spans="1:2">
      <c r="A1220">
        <v>50500309</v>
      </c>
      <c r="B1220" t="s">
        <v>1804</v>
      </c>
    </row>
    <row r="1221" spans="1:2">
      <c r="A1221">
        <v>50500401</v>
      </c>
      <c r="B1221" t="s">
        <v>1813</v>
      </c>
    </row>
    <row r="1222" spans="1:2">
      <c r="A1222">
        <v>50500402</v>
      </c>
      <c r="B1222" t="s">
        <v>1814</v>
      </c>
    </row>
    <row r="1223" spans="1:2">
      <c r="A1223">
        <v>50500403</v>
      </c>
      <c r="B1223" t="s">
        <v>1815</v>
      </c>
    </row>
    <row r="1224" spans="1:2">
      <c r="A1224">
        <v>50500404</v>
      </c>
      <c r="B1224" t="s">
        <v>1816</v>
      </c>
    </row>
    <row r="1225" spans="1:2">
      <c r="A1225">
        <v>50500405</v>
      </c>
      <c r="B1225" t="s">
        <v>1817</v>
      </c>
    </row>
    <row r="1226" spans="1:2">
      <c r="A1226">
        <v>50500406</v>
      </c>
      <c r="B1226" t="s">
        <v>1818</v>
      </c>
    </row>
    <row r="1227" spans="1:2">
      <c r="A1227">
        <v>50500407</v>
      </c>
      <c r="B1227" t="s">
        <v>1819</v>
      </c>
    </row>
    <row r="1228" spans="1:2">
      <c r="A1228">
        <v>50500408</v>
      </c>
      <c r="B1228" t="s">
        <v>1820</v>
      </c>
    </row>
    <row r="1229" spans="1:2">
      <c r="A1229">
        <v>50500409</v>
      </c>
      <c r="B1229" t="s">
        <v>1821</v>
      </c>
    </row>
    <row r="1230" spans="1:2">
      <c r="A1230">
        <v>50599901</v>
      </c>
      <c r="B1230" t="s">
        <v>1830</v>
      </c>
    </row>
    <row r="1231" spans="1:2">
      <c r="A1231">
        <v>50599902</v>
      </c>
      <c r="B1231" t="s">
        <v>1831</v>
      </c>
    </row>
    <row r="1232" spans="1:2">
      <c r="A1232">
        <v>50599903</v>
      </c>
      <c r="B1232" t="s">
        <v>1832</v>
      </c>
    </row>
    <row r="1233" spans="1:2">
      <c r="A1233">
        <v>50599904</v>
      </c>
      <c r="B1233" t="s">
        <v>1833</v>
      </c>
    </row>
    <row r="1234" spans="1:2">
      <c r="A1234">
        <v>50599905</v>
      </c>
      <c r="B1234" t="s">
        <v>1834</v>
      </c>
    </row>
    <row r="1235" spans="1:2">
      <c r="A1235">
        <v>50599906</v>
      </c>
      <c r="B1235" t="s">
        <v>1835</v>
      </c>
    </row>
    <row r="1236" spans="1:2">
      <c r="A1236">
        <v>50599907</v>
      </c>
      <c r="B1236" t="s">
        <v>1836</v>
      </c>
    </row>
    <row r="1237" spans="1:2">
      <c r="A1237">
        <v>50599908</v>
      </c>
      <c r="B1237" t="s">
        <v>1837</v>
      </c>
    </row>
    <row r="1238" spans="1:2">
      <c r="A1238">
        <v>50599909</v>
      </c>
      <c r="B1238" t="s">
        <v>1838</v>
      </c>
    </row>
    <row r="1239" spans="1:2">
      <c r="A1239">
        <v>50599910</v>
      </c>
      <c r="B1239" t="s">
        <v>1839</v>
      </c>
    </row>
    <row r="1240" spans="1:2">
      <c r="A1240">
        <v>50599911</v>
      </c>
      <c r="B1240" t="s">
        <v>1840</v>
      </c>
    </row>
    <row r="1241" spans="1:2">
      <c r="A1241">
        <v>50599912</v>
      </c>
      <c r="B1241" t="s">
        <v>1841</v>
      </c>
    </row>
    <row r="1242" spans="1:2">
      <c r="A1242">
        <v>50599913</v>
      </c>
      <c r="B1242" t="s">
        <v>1842</v>
      </c>
    </row>
    <row r="1243" spans="1:2">
      <c r="A1243">
        <v>50599914</v>
      </c>
      <c r="B1243" t="s">
        <v>1843</v>
      </c>
    </row>
    <row r="1244" spans="1:2">
      <c r="A1244">
        <v>50599915</v>
      </c>
      <c r="B1244" t="s">
        <v>1844</v>
      </c>
    </row>
    <row r="1245" spans="1:2">
      <c r="A1245">
        <v>50599916</v>
      </c>
      <c r="B1245" t="s">
        <v>1845</v>
      </c>
    </row>
    <row r="1246" spans="1:2">
      <c r="A1246">
        <v>50599917</v>
      </c>
      <c r="B1246" t="s">
        <v>1846</v>
      </c>
    </row>
    <row r="1247" spans="1:2">
      <c r="A1247">
        <v>50599918</v>
      </c>
      <c r="B1247" t="s">
        <v>1847</v>
      </c>
    </row>
    <row r="1248" spans="1:2">
      <c r="A1248">
        <v>50599919</v>
      </c>
      <c r="B1248" t="s">
        <v>1848</v>
      </c>
    </row>
    <row r="1249" spans="1:2">
      <c r="A1249">
        <v>50599920</v>
      </c>
      <c r="B1249" t="s">
        <v>1849</v>
      </c>
    </row>
    <row r="1250" spans="1:2">
      <c r="A1250">
        <v>50599921</v>
      </c>
      <c r="B1250" t="s">
        <v>1850</v>
      </c>
    </row>
    <row r="1251" spans="1:2">
      <c r="A1251">
        <v>50599922</v>
      </c>
      <c r="B1251" t="s">
        <v>1851</v>
      </c>
    </row>
    <row r="1252" spans="1:2">
      <c r="A1252">
        <v>50599923</v>
      </c>
      <c r="B1252" t="s">
        <v>1852</v>
      </c>
    </row>
    <row r="1253" spans="1:2">
      <c r="A1253">
        <v>50599924</v>
      </c>
      <c r="B1253" t="s">
        <v>1853</v>
      </c>
    </row>
    <row r="1254" spans="1:2">
      <c r="A1254">
        <v>50599925</v>
      </c>
      <c r="B1254" t="s">
        <v>1854</v>
      </c>
    </row>
    <row r="1255" spans="1:2">
      <c r="A1255">
        <v>50599926</v>
      </c>
      <c r="B1255" t="s">
        <v>1855</v>
      </c>
    </row>
    <row r="1256" spans="1:2">
      <c r="A1256">
        <v>50599927</v>
      </c>
      <c r="B1256" t="s">
        <v>1856</v>
      </c>
    </row>
    <row r="1257" spans="1:2">
      <c r="A1257">
        <v>50500310</v>
      </c>
      <c r="B1257" t="s">
        <v>1805</v>
      </c>
    </row>
    <row r="1258" spans="1:2">
      <c r="A1258">
        <v>50500311</v>
      </c>
      <c r="B1258" t="s">
        <v>1806</v>
      </c>
    </row>
    <row r="1259" spans="1:2">
      <c r="A1259">
        <v>50500312</v>
      </c>
      <c r="B1259" t="s">
        <v>1807</v>
      </c>
    </row>
    <row r="1260" spans="1:2">
      <c r="A1260">
        <v>50500313</v>
      </c>
      <c r="B1260" t="s">
        <v>1808</v>
      </c>
    </row>
    <row r="1261" spans="1:2">
      <c r="A1261">
        <v>50500314</v>
      </c>
      <c r="B1261" t="s">
        <v>1809</v>
      </c>
    </row>
    <row r="1262" spans="1:2">
      <c r="A1262">
        <v>50500315</v>
      </c>
      <c r="B1262" t="s">
        <v>1810</v>
      </c>
    </row>
    <row r="1263" spans="1:2">
      <c r="A1263">
        <v>50500316</v>
      </c>
      <c r="B1263" t="s">
        <v>1811</v>
      </c>
    </row>
    <row r="1264" spans="1:2">
      <c r="A1264">
        <v>50500317</v>
      </c>
      <c r="B1264" t="s">
        <v>1812</v>
      </c>
    </row>
    <row r="1265" spans="1:2">
      <c r="A1265">
        <v>50500410</v>
      </c>
      <c r="B1265" t="s">
        <v>1822</v>
      </c>
    </row>
    <row r="1266" spans="1:2">
      <c r="A1266">
        <v>50500411</v>
      </c>
      <c r="B1266" t="s">
        <v>1823</v>
      </c>
    </row>
    <row r="1267" spans="1:2">
      <c r="A1267">
        <v>50500412</v>
      </c>
      <c r="B1267" t="s">
        <v>1824</v>
      </c>
    </row>
    <row r="1268" spans="1:2">
      <c r="A1268">
        <v>50500413</v>
      </c>
      <c r="B1268" t="s">
        <v>1825</v>
      </c>
    </row>
    <row r="1269" spans="1:2">
      <c r="A1269">
        <v>50500414</v>
      </c>
      <c r="B1269" t="s">
        <v>1826</v>
      </c>
    </row>
    <row r="1270" spans="1:2">
      <c r="A1270">
        <v>50500415</v>
      </c>
      <c r="B1270" t="s">
        <v>1827</v>
      </c>
    </row>
    <row r="1271" spans="1:2">
      <c r="A1271">
        <v>50500416</v>
      </c>
      <c r="B1271" t="s">
        <v>1828</v>
      </c>
    </row>
    <row r="1272" spans="1:2">
      <c r="A1272">
        <v>50500417</v>
      </c>
      <c r="B1272" t="s">
        <v>1829</v>
      </c>
    </row>
    <row r="1273" spans="1:2">
      <c r="A1273">
        <v>50599928</v>
      </c>
      <c r="B1273" t="s">
        <v>1857</v>
      </c>
    </row>
    <row r="1274" spans="1:2">
      <c r="A1274">
        <v>50599929</v>
      </c>
      <c r="B1274" t="s">
        <v>1858</v>
      </c>
    </row>
    <row r="1275" spans="1:2">
      <c r="A1275">
        <v>50599930</v>
      </c>
      <c r="B1275" t="s">
        <v>1859</v>
      </c>
    </row>
    <row r="1276" spans="1:2">
      <c r="A1276">
        <v>50599931</v>
      </c>
      <c r="B1276" t="s">
        <v>1860</v>
      </c>
    </row>
    <row r="1277" spans="1:2">
      <c r="A1277">
        <v>50599932</v>
      </c>
      <c r="B1277" t="s">
        <v>1861</v>
      </c>
    </row>
    <row r="1278" spans="1:2">
      <c r="A1278">
        <v>50599933</v>
      </c>
      <c r="B1278" t="s">
        <v>1862</v>
      </c>
    </row>
    <row r="1279" spans="1:2">
      <c r="A1279">
        <v>50599934</v>
      </c>
      <c r="B1279" t="s">
        <v>1863</v>
      </c>
    </row>
    <row r="1280" spans="1:2">
      <c r="A1280">
        <v>50599935</v>
      </c>
      <c r="B1280" t="s">
        <v>1864</v>
      </c>
    </row>
    <row r="1281" spans="1:2">
      <c r="A1281">
        <v>51000501</v>
      </c>
      <c r="B1281" t="s">
        <v>1865</v>
      </c>
    </row>
    <row r="1282" spans="1:2">
      <c r="A1282">
        <v>51000502</v>
      </c>
      <c r="B1282" t="s">
        <v>1866</v>
      </c>
    </row>
    <row r="1283" spans="1:2">
      <c r="A1283">
        <v>51000503</v>
      </c>
      <c r="B1283" t="s">
        <v>1867</v>
      </c>
    </row>
    <row r="1284" spans="1:2">
      <c r="A1284">
        <v>51000504</v>
      </c>
      <c r="B1284" t="s">
        <v>1868</v>
      </c>
    </row>
    <row r="1285" spans="1:2">
      <c r="A1285">
        <v>51000505</v>
      </c>
      <c r="B1285" t="s">
        <v>1869</v>
      </c>
    </row>
    <row r="1286" spans="1:2">
      <c r="A1286">
        <v>51000506</v>
      </c>
      <c r="B1286" t="s">
        <v>1870</v>
      </c>
    </row>
    <row r="1287" spans="1:2">
      <c r="A1287">
        <v>51000507</v>
      </c>
      <c r="B1287" t="s">
        <v>1871</v>
      </c>
    </row>
    <row r="1288" spans="1:2">
      <c r="A1288">
        <v>51000508</v>
      </c>
      <c r="B1288" t="s">
        <v>1872</v>
      </c>
    </row>
    <row r="1289" spans="1:2">
      <c r="A1289">
        <v>51000509</v>
      </c>
      <c r="B1289" t="s">
        <v>1873</v>
      </c>
    </row>
    <row r="1290" spans="1:2">
      <c r="A1290">
        <v>51000510</v>
      </c>
      <c r="B1290" t="s">
        <v>1874</v>
      </c>
    </row>
    <row r="1291" spans="1:2">
      <c r="A1291">
        <v>51000511</v>
      </c>
      <c r="B1291" t="s">
        <v>1875</v>
      </c>
    </row>
    <row r="1292" spans="1:2">
      <c r="A1292">
        <v>51000512</v>
      </c>
      <c r="B1292" t="s">
        <v>1876</v>
      </c>
    </row>
    <row r="1293" spans="1:2">
      <c r="A1293">
        <v>51000513</v>
      </c>
      <c r="B1293" t="s">
        <v>1877</v>
      </c>
    </row>
    <row r="1294" spans="1:2">
      <c r="A1294">
        <v>51000514</v>
      </c>
      <c r="B1294" t="s">
        <v>1878</v>
      </c>
    </row>
    <row r="1295" spans="1:2">
      <c r="A1295">
        <v>51000515</v>
      </c>
      <c r="B1295" t="s">
        <v>1879</v>
      </c>
    </row>
    <row r="1296" spans="1:2">
      <c r="A1296">
        <v>51000516</v>
      </c>
      <c r="B1296" t="s">
        <v>1880</v>
      </c>
    </row>
    <row r="1297" spans="1:2">
      <c r="A1297">
        <v>51000517</v>
      </c>
      <c r="B1297" t="s">
        <v>1881</v>
      </c>
    </row>
    <row r="1298" spans="1:2">
      <c r="A1298">
        <v>51000518</v>
      </c>
      <c r="B1298" t="s">
        <v>1882</v>
      </c>
    </row>
    <row r="1299" spans="1:2">
      <c r="A1299">
        <v>51000519</v>
      </c>
      <c r="B1299" t="s">
        <v>1883</v>
      </c>
    </row>
    <row r="1300" spans="1:2">
      <c r="A1300">
        <v>51000520</v>
      </c>
      <c r="B1300" t="s">
        <v>1884</v>
      </c>
    </row>
    <row r="1301" spans="1:2">
      <c r="A1301">
        <v>51000521</v>
      </c>
      <c r="B1301" t="s">
        <v>1885</v>
      </c>
    </row>
    <row r="1302" spans="1:2">
      <c r="A1302">
        <v>51000522</v>
      </c>
      <c r="B1302" t="s">
        <v>1886</v>
      </c>
    </row>
    <row r="1303" spans="1:2">
      <c r="A1303">
        <v>51000523</v>
      </c>
      <c r="B1303" t="s">
        <v>1887</v>
      </c>
    </row>
    <row r="1304" spans="1:2">
      <c r="A1304">
        <v>51000524</v>
      </c>
      <c r="B1304" t="s">
        <v>1888</v>
      </c>
    </row>
    <row r="1305" spans="1:2">
      <c r="A1305">
        <v>51000525</v>
      </c>
      <c r="B1305" t="s">
        <v>1889</v>
      </c>
    </row>
    <row r="1306" spans="1:2">
      <c r="A1306">
        <v>51000526</v>
      </c>
      <c r="B1306" t="s">
        <v>1890</v>
      </c>
    </row>
    <row r="1307" spans="1:2">
      <c r="A1307">
        <v>51000527</v>
      </c>
      <c r="B1307" t="s">
        <v>1891</v>
      </c>
    </row>
    <row r="1308" spans="1:2">
      <c r="A1308">
        <v>51000528</v>
      </c>
      <c r="B1308" t="s">
        <v>1892</v>
      </c>
    </row>
    <row r="1309" spans="1:2">
      <c r="A1309">
        <v>51000529</v>
      </c>
      <c r="B1309" t="s">
        <v>1893</v>
      </c>
    </row>
    <row r="1310" spans="1:2">
      <c r="A1310">
        <v>51000530</v>
      </c>
      <c r="B1310" t="s">
        <v>1894</v>
      </c>
    </row>
    <row r="1311" spans="1:2">
      <c r="A1311">
        <v>51000531</v>
      </c>
      <c r="B1311" t="s">
        <v>1895</v>
      </c>
    </row>
    <row r="1312" spans="1:2">
      <c r="A1312">
        <v>51000532</v>
      </c>
      <c r="B1312" t="s">
        <v>1896</v>
      </c>
    </row>
    <row r="1313" spans="1:2">
      <c r="A1313">
        <v>52000601</v>
      </c>
      <c r="B1313" t="s">
        <v>1897</v>
      </c>
    </row>
    <row r="1314" spans="1:2">
      <c r="A1314">
        <v>52000602</v>
      </c>
      <c r="B1314" t="s">
        <v>1898</v>
      </c>
    </row>
    <row r="1315" spans="1:2">
      <c r="A1315">
        <v>52000603</v>
      </c>
      <c r="B1315" t="s">
        <v>1899</v>
      </c>
    </row>
    <row r="1316" spans="1:2">
      <c r="A1316">
        <v>52000604</v>
      </c>
      <c r="B1316" t="s">
        <v>1900</v>
      </c>
    </row>
    <row r="1317" spans="1:2">
      <c r="A1317">
        <v>52000605</v>
      </c>
      <c r="B1317" t="s">
        <v>1901</v>
      </c>
    </row>
    <row r="1318" spans="1:2">
      <c r="A1318">
        <v>52000606</v>
      </c>
      <c r="B1318" t="s">
        <v>1902</v>
      </c>
    </row>
    <row r="1319" spans="1:2">
      <c r="A1319">
        <v>52000607</v>
      </c>
      <c r="B1319" t="s">
        <v>1903</v>
      </c>
    </row>
    <row r="1320" spans="1:2">
      <c r="A1320">
        <v>52000608</v>
      </c>
      <c r="B1320" t="s">
        <v>1904</v>
      </c>
    </row>
    <row r="1321" spans="1:2">
      <c r="A1321">
        <v>52000609</v>
      </c>
      <c r="B1321" t="s">
        <v>1905</v>
      </c>
    </row>
    <row r="1322" spans="1:2">
      <c r="A1322">
        <v>52000610</v>
      </c>
      <c r="B1322" t="s">
        <v>1906</v>
      </c>
    </row>
    <row r="1323" spans="1:2">
      <c r="A1323">
        <v>52000611</v>
      </c>
      <c r="B1323" t="s">
        <v>1907</v>
      </c>
    </row>
    <row r="1324" spans="1:2">
      <c r="A1324">
        <v>52000612</v>
      </c>
      <c r="B1324" t="s">
        <v>1908</v>
      </c>
    </row>
    <row r="1325" spans="1:2">
      <c r="A1325">
        <v>52000613</v>
      </c>
      <c r="B1325" t="s">
        <v>1909</v>
      </c>
    </row>
    <row r="1326" spans="1:2">
      <c r="A1326">
        <v>52000614</v>
      </c>
      <c r="B1326" t="s">
        <v>1910</v>
      </c>
    </row>
    <row r="1327" spans="1:2">
      <c r="A1327">
        <v>52000615</v>
      </c>
      <c r="B1327" t="s">
        <v>1911</v>
      </c>
    </row>
    <row r="1328" spans="1:2">
      <c r="A1328">
        <v>52000616</v>
      </c>
      <c r="B1328" t="s">
        <v>1912</v>
      </c>
    </row>
    <row r="1329" spans="1:2">
      <c r="A1329">
        <v>52000617</v>
      </c>
      <c r="B1329" t="s">
        <v>1913</v>
      </c>
    </row>
    <row r="1330" spans="1:2">
      <c r="A1330">
        <v>52500701</v>
      </c>
      <c r="B1330" t="s">
        <v>1914</v>
      </c>
    </row>
    <row r="1331" spans="1:2">
      <c r="A1331">
        <v>52500702</v>
      </c>
      <c r="B1331" t="s">
        <v>1915</v>
      </c>
    </row>
    <row r="1332" spans="1:2">
      <c r="A1332">
        <v>52500703</v>
      </c>
      <c r="B1332" t="s">
        <v>1916</v>
      </c>
    </row>
    <row r="1333" spans="1:2">
      <c r="A1333">
        <v>52500704</v>
      </c>
      <c r="B1333" t="s">
        <v>1917</v>
      </c>
    </row>
    <row r="1334" spans="1:2">
      <c r="A1334">
        <v>52500705</v>
      </c>
      <c r="B1334" t="s">
        <v>1918</v>
      </c>
    </row>
    <row r="1335" spans="1:2">
      <c r="A1335">
        <v>52500706</v>
      </c>
      <c r="B1335" t="s">
        <v>1919</v>
      </c>
    </row>
    <row r="1336" spans="1:2">
      <c r="A1336">
        <v>52500707</v>
      </c>
      <c r="B1336" t="s">
        <v>1920</v>
      </c>
    </row>
    <row r="1337" spans="1:2">
      <c r="A1337">
        <v>52500708</v>
      </c>
      <c r="B1337" t="s">
        <v>1921</v>
      </c>
    </row>
    <row r="1338" spans="1:2">
      <c r="A1338">
        <v>52500709</v>
      </c>
      <c r="B1338" t="s">
        <v>1922</v>
      </c>
    </row>
    <row r="1339" spans="1:2">
      <c r="A1339">
        <v>52500710</v>
      </c>
      <c r="B1339" t="s">
        <v>1915</v>
      </c>
    </row>
    <row r="1340" spans="1:2">
      <c r="A1340">
        <v>52500711</v>
      </c>
      <c r="B1340" t="s">
        <v>1923</v>
      </c>
    </row>
    <row r="1341" spans="1:2">
      <c r="A1341">
        <v>52500712</v>
      </c>
      <c r="B1341" t="s">
        <v>1924</v>
      </c>
    </row>
    <row r="1342" spans="1:2">
      <c r="A1342">
        <v>52500713</v>
      </c>
      <c r="B1342" t="s">
        <v>1916</v>
      </c>
    </row>
    <row r="1343" spans="1:2">
      <c r="A1343">
        <v>52500714</v>
      </c>
      <c r="B1343" t="s">
        <v>1917</v>
      </c>
    </row>
    <row r="1344" spans="1:2">
      <c r="A1344">
        <v>52500715</v>
      </c>
      <c r="B1344" t="s">
        <v>1918</v>
      </c>
    </row>
    <row r="1345" spans="1:2">
      <c r="A1345">
        <v>52500716</v>
      </c>
      <c r="B1345" t="s">
        <v>1919</v>
      </c>
    </row>
    <row r="1346" spans="1:2">
      <c r="A1346">
        <v>52500801</v>
      </c>
      <c r="B1346" t="s">
        <v>1925</v>
      </c>
    </row>
    <row r="1347" spans="1:2">
      <c r="A1347">
        <v>52500802</v>
      </c>
      <c r="B1347" t="s">
        <v>1926</v>
      </c>
    </row>
    <row r="1348" spans="1:2">
      <c r="A1348">
        <v>52500803</v>
      </c>
      <c r="B1348" t="s">
        <v>1927</v>
      </c>
    </row>
    <row r="1349" spans="1:2">
      <c r="A1349">
        <v>52500804</v>
      </c>
      <c r="B1349" t="s">
        <v>1928</v>
      </c>
    </row>
    <row r="1350" spans="1:2">
      <c r="A1350">
        <v>52500805</v>
      </c>
      <c r="B1350" t="s">
        <v>1929</v>
      </c>
    </row>
    <row r="1351" spans="1:2">
      <c r="A1351">
        <v>52500806</v>
      </c>
      <c r="B1351" t="s">
        <v>1930</v>
      </c>
    </row>
    <row r="1352" spans="1:2">
      <c r="A1352">
        <v>53000901</v>
      </c>
      <c r="B1352" t="s">
        <v>1931</v>
      </c>
    </row>
    <row r="1353" spans="1:2">
      <c r="A1353">
        <v>53000902</v>
      </c>
      <c r="B1353" t="s">
        <v>1932</v>
      </c>
    </row>
    <row r="1354" spans="1:2">
      <c r="A1354">
        <v>53000903</v>
      </c>
      <c r="B1354" t="s">
        <v>1933</v>
      </c>
    </row>
    <row r="1355" spans="1:2">
      <c r="A1355">
        <v>53000904</v>
      </c>
      <c r="B1355" t="s">
        <v>1934</v>
      </c>
    </row>
    <row r="1356" spans="1:2">
      <c r="A1356">
        <v>53000905</v>
      </c>
      <c r="B1356" t="s">
        <v>1935</v>
      </c>
    </row>
    <row r="1357" spans="1:2">
      <c r="A1357">
        <v>53000906</v>
      </c>
      <c r="B1357" t="s">
        <v>1936</v>
      </c>
    </row>
    <row r="1358" spans="1:2">
      <c r="A1358">
        <v>59901001</v>
      </c>
      <c r="B1358" t="s">
        <v>1937</v>
      </c>
    </row>
    <row r="1359" spans="1:2">
      <c r="A1359" t="s">
        <v>2322</v>
      </c>
      <c r="B1359" t="s">
        <v>2323</v>
      </c>
    </row>
    <row r="1360" spans="1:2">
      <c r="A1360" t="s">
        <v>2324</v>
      </c>
      <c r="B1360" t="s">
        <v>2325</v>
      </c>
    </row>
    <row r="1361" spans="1:2">
      <c r="A1361" t="s">
        <v>2326</v>
      </c>
      <c r="B1361" t="s">
        <v>2327</v>
      </c>
    </row>
    <row r="1362" spans="1:2">
      <c r="A1362" t="s">
        <v>2328</v>
      </c>
      <c r="B1362" t="s">
        <v>2329</v>
      </c>
    </row>
    <row r="1363" spans="1:2">
      <c r="A1363" t="s">
        <v>2330</v>
      </c>
      <c r="B1363" t="s">
        <v>2331</v>
      </c>
    </row>
    <row r="1364" spans="1:2">
      <c r="A1364" t="s">
        <v>2332</v>
      </c>
      <c r="B1364" t="s">
        <v>2333</v>
      </c>
    </row>
    <row r="1365" spans="1:2">
      <c r="A1365" t="s">
        <v>2334</v>
      </c>
      <c r="B1365" t="s">
        <v>2335</v>
      </c>
    </row>
    <row r="1366" spans="1:2">
      <c r="A1366" t="s">
        <v>2336</v>
      </c>
      <c r="B1366" t="s">
        <v>2337</v>
      </c>
    </row>
    <row r="1367" spans="1:2">
      <c r="A1367" t="s">
        <v>2338</v>
      </c>
      <c r="B1367" t="s">
        <v>2339</v>
      </c>
    </row>
    <row r="1368" spans="1:2">
      <c r="A1368" t="s">
        <v>2340</v>
      </c>
      <c r="B1368" t="s">
        <v>2341</v>
      </c>
    </row>
    <row r="1369" spans="1:2">
      <c r="A1369" t="s">
        <v>2342</v>
      </c>
      <c r="B1369" t="s">
        <v>2343</v>
      </c>
    </row>
    <row r="1370" spans="1:2">
      <c r="A1370" t="s">
        <v>2344</v>
      </c>
      <c r="B1370" t="s">
        <v>2345</v>
      </c>
    </row>
    <row r="1371" spans="1:2">
      <c r="A1371" t="s">
        <v>2346</v>
      </c>
      <c r="B1371" t="s">
        <v>2347</v>
      </c>
    </row>
    <row r="1372" spans="1:2">
      <c r="A1372" t="s">
        <v>2348</v>
      </c>
      <c r="B1372" t="s">
        <v>2349</v>
      </c>
    </row>
    <row r="1373" spans="1:2">
      <c r="A1373" t="s">
        <v>2350</v>
      </c>
      <c r="B1373" t="s">
        <v>2351</v>
      </c>
    </row>
    <row r="1374" spans="1:2">
      <c r="A1374" t="s">
        <v>2352</v>
      </c>
      <c r="B1374" t="s">
        <v>2353</v>
      </c>
    </row>
    <row r="1375" spans="1:2">
      <c r="A1375" t="s">
        <v>2354</v>
      </c>
      <c r="B1375" t="s">
        <v>2355</v>
      </c>
    </row>
    <row r="1376" spans="1:2">
      <c r="A1376" t="s">
        <v>2356</v>
      </c>
      <c r="B1376" t="s">
        <v>2357</v>
      </c>
    </row>
    <row r="1377" spans="1:2">
      <c r="A1377">
        <v>60000001</v>
      </c>
      <c r="B1377" t="s">
        <v>1938</v>
      </c>
    </row>
    <row r="1378" spans="1:2">
      <c r="A1378">
        <v>70100101</v>
      </c>
      <c r="B1378" t="s">
        <v>1939</v>
      </c>
    </row>
    <row r="1379" spans="1:2">
      <c r="A1379">
        <v>70100201</v>
      </c>
      <c r="B1379" t="s">
        <v>1940</v>
      </c>
    </row>
    <row r="1380" spans="1:2">
      <c r="A1380">
        <v>70100301</v>
      </c>
      <c r="B1380" t="s">
        <v>1941</v>
      </c>
    </row>
    <row r="1381" spans="1:2">
      <c r="A1381">
        <v>70500101</v>
      </c>
      <c r="B1381" t="s">
        <v>1942</v>
      </c>
    </row>
    <row r="1382" spans="1:2">
      <c r="A1382">
        <v>70500201</v>
      </c>
      <c r="B1382" t="s">
        <v>1943</v>
      </c>
    </row>
    <row r="1383" spans="1:2">
      <c r="A1383">
        <v>70500301</v>
      </c>
      <c r="B1383" t="s">
        <v>2450</v>
      </c>
    </row>
    <row r="1384" spans="1:2">
      <c r="A1384">
        <v>71000101</v>
      </c>
      <c r="B1384" t="s">
        <v>1944</v>
      </c>
    </row>
    <row r="1385" spans="1:2">
      <c r="A1385">
        <v>71000201</v>
      </c>
      <c r="B1385" t="s">
        <v>1945</v>
      </c>
    </row>
    <row r="1386" spans="1:2">
      <c r="A1386">
        <v>71000301</v>
      </c>
      <c r="B1386" t="s">
        <v>1946</v>
      </c>
    </row>
    <row r="1387" spans="1:2">
      <c r="A1387">
        <v>71500101</v>
      </c>
      <c r="B1387" t="s">
        <v>1947</v>
      </c>
    </row>
    <row r="1388" spans="1:2">
      <c r="A1388">
        <v>71500201</v>
      </c>
      <c r="B1388" t="s">
        <v>1948</v>
      </c>
    </row>
    <row r="1389" spans="1:2">
      <c r="A1389">
        <v>71500301</v>
      </c>
      <c r="B1389" t="s">
        <v>1949</v>
      </c>
    </row>
    <row r="1390" spans="1:2">
      <c r="A1390">
        <v>72000101</v>
      </c>
      <c r="B1390" t="s">
        <v>1950</v>
      </c>
    </row>
    <row r="1391" spans="1:2">
      <c r="A1391">
        <v>72000201</v>
      </c>
      <c r="B1391" t="s">
        <v>1951</v>
      </c>
    </row>
    <row r="1392" spans="1:2">
      <c r="A1392">
        <v>72000301</v>
      </c>
      <c r="B1392" t="s">
        <v>1952</v>
      </c>
    </row>
    <row r="1393" spans="1:2">
      <c r="A1393">
        <v>72500101</v>
      </c>
      <c r="B1393" t="s">
        <v>2451</v>
      </c>
    </row>
    <row r="1394" spans="1:2">
      <c r="A1394">
        <v>72500201</v>
      </c>
      <c r="B1394" t="s">
        <v>2452</v>
      </c>
    </row>
    <row r="1395" spans="1:2">
      <c r="A1395">
        <v>72500301</v>
      </c>
      <c r="B1395" t="s">
        <v>1953</v>
      </c>
    </row>
    <row r="1396" spans="1:2">
      <c r="A1396">
        <v>90100401</v>
      </c>
      <c r="B1396" t="s">
        <v>1954</v>
      </c>
    </row>
    <row r="1397" spans="1:2">
      <c r="A1397">
        <v>90100501</v>
      </c>
      <c r="B1397" t="s">
        <v>1955</v>
      </c>
    </row>
    <row r="1398" spans="1:2">
      <c r="A1398">
        <v>90100601</v>
      </c>
      <c r="B1398" t="s">
        <v>1956</v>
      </c>
    </row>
    <row r="1399" spans="1:2">
      <c r="A1399">
        <v>90199901</v>
      </c>
      <c r="B1399" t="s">
        <v>1957</v>
      </c>
    </row>
    <row r="1400" spans="1:2">
      <c r="A1400">
        <v>90501001</v>
      </c>
      <c r="B1400" t="s">
        <v>1958</v>
      </c>
    </row>
    <row r="1401" spans="1:2">
      <c r="A1401">
        <v>90501002</v>
      </c>
      <c r="B1401" t="s">
        <v>1959</v>
      </c>
    </row>
    <row r="1402" spans="1:2">
      <c r="A1402">
        <v>90501003</v>
      </c>
      <c r="B1402" t="s">
        <v>1960</v>
      </c>
    </row>
    <row r="1403" spans="1:2">
      <c r="A1403">
        <v>90501004</v>
      </c>
      <c r="B1403" t="s">
        <v>1961</v>
      </c>
    </row>
    <row r="1404" spans="1:2">
      <c r="A1404">
        <v>90501005</v>
      </c>
      <c r="B1404" t="s">
        <v>1962</v>
      </c>
    </row>
    <row r="1405" spans="1:2">
      <c r="A1405">
        <v>90501006</v>
      </c>
      <c r="B1405" t="s">
        <v>1963</v>
      </c>
    </row>
    <row r="1406" spans="1:2">
      <c r="A1406">
        <v>90501007</v>
      </c>
      <c r="B1406" t="s">
        <v>1964</v>
      </c>
    </row>
    <row r="1407" spans="1:2">
      <c r="A1407">
        <v>90501008</v>
      </c>
      <c r="B1407" t="s">
        <v>1965</v>
      </c>
    </row>
    <row r="1408" spans="1:2">
      <c r="A1408">
        <v>90501009</v>
      </c>
      <c r="B1408" t="s">
        <v>1966</v>
      </c>
    </row>
    <row r="1409" spans="1:2">
      <c r="A1409">
        <v>90501101</v>
      </c>
      <c r="B1409" t="s">
        <v>1983</v>
      </c>
    </row>
    <row r="1410" spans="1:2">
      <c r="A1410">
        <v>90501102</v>
      </c>
      <c r="B1410" t="s">
        <v>1984</v>
      </c>
    </row>
    <row r="1411" spans="1:2">
      <c r="A1411">
        <v>90501103</v>
      </c>
      <c r="B1411" t="s">
        <v>1985</v>
      </c>
    </row>
    <row r="1412" spans="1:2">
      <c r="A1412">
        <v>90501104</v>
      </c>
      <c r="B1412" t="s">
        <v>1986</v>
      </c>
    </row>
    <row r="1413" spans="1:2">
      <c r="A1413">
        <v>90501105</v>
      </c>
      <c r="B1413" t="s">
        <v>1987</v>
      </c>
    </row>
    <row r="1414" spans="1:2">
      <c r="A1414">
        <v>90501106</v>
      </c>
      <c r="B1414" t="s">
        <v>1988</v>
      </c>
    </row>
    <row r="1415" spans="1:2">
      <c r="A1415">
        <v>90501107</v>
      </c>
      <c r="B1415" t="s">
        <v>1989</v>
      </c>
    </row>
    <row r="1416" spans="1:2">
      <c r="A1416">
        <v>90501108</v>
      </c>
      <c r="B1416" t="s">
        <v>1990</v>
      </c>
    </row>
    <row r="1417" spans="1:2">
      <c r="A1417">
        <v>90501109</v>
      </c>
      <c r="B1417" t="s">
        <v>1991</v>
      </c>
    </row>
    <row r="1418" spans="1:2">
      <c r="A1418">
        <v>90501201</v>
      </c>
      <c r="B1418" t="s">
        <v>1993</v>
      </c>
    </row>
    <row r="1419" spans="1:2">
      <c r="A1419">
        <v>90501202</v>
      </c>
      <c r="B1419" t="s">
        <v>1994</v>
      </c>
    </row>
    <row r="1420" spans="1:2">
      <c r="A1420">
        <v>90501203</v>
      </c>
      <c r="B1420" t="s">
        <v>1995</v>
      </c>
    </row>
    <row r="1421" spans="1:2">
      <c r="A1421">
        <v>90501204</v>
      </c>
      <c r="B1421" t="s">
        <v>1996</v>
      </c>
    </row>
    <row r="1422" spans="1:2">
      <c r="A1422">
        <v>90501205</v>
      </c>
      <c r="B1422" t="s">
        <v>1997</v>
      </c>
    </row>
    <row r="1423" spans="1:2">
      <c r="A1423">
        <v>90501206</v>
      </c>
      <c r="B1423" t="s">
        <v>1998</v>
      </c>
    </row>
    <row r="1424" spans="1:2">
      <c r="A1424">
        <v>90501207</v>
      </c>
      <c r="B1424" t="s">
        <v>1999</v>
      </c>
    </row>
    <row r="1425" spans="1:2">
      <c r="A1425">
        <v>90501208</v>
      </c>
      <c r="B1425" t="s">
        <v>2000</v>
      </c>
    </row>
    <row r="1426" spans="1:2">
      <c r="A1426">
        <v>90501209</v>
      </c>
      <c r="B1426" t="s">
        <v>2001</v>
      </c>
    </row>
    <row r="1427" spans="1:2">
      <c r="A1427">
        <v>90501301</v>
      </c>
      <c r="B1427" t="s">
        <v>2002</v>
      </c>
    </row>
    <row r="1428" spans="1:2">
      <c r="A1428">
        <v>90501302</v>
      </c>
      <c r="B1428" t="s">
        <v>2003</v>
      </c>
    </row>
    <row r="1429" spans="1:2">
      <c r="A1429">
        <v>90501303</v>
      </c>
      <c r="B1429" t="s">
        <v>2004</v>
      </c>
    </row>
    <row r="1430" spans="1:2">
      <c r="A1430">
        <v>90501304</v>
      </c>
      <c r="B1430" t="s">
        <v>2005</v>
      </c>
    </row>
    <row r="1431" spans="1:2">
      <c r="A1431">
        <v>90501305</v>
      </c>
      <c r="B1431" t="s">
        <v>2006</v>
      </c>
    </row>
    <row r="1432" spans="1:2">
      <c r="A1432">
        <v>90501306</v>
      </c>
      <c r="B1432" t="s">
        <v>2007</v>
      </c>
    </row>
    <row r="1433" spans="1:2">
      <c r="A1433">
        <v>90501307</v>
      </c>
      <c r="B1433" t="s">
        <v>2008</v>
      </c>
    </row>
    <row r="1434" spans="1:2">
      <c r="A1434">
        <v>90501308</v>
      </c>
      <c r="B1434" t="s">
        <v>2009</v>
      </c>
    </row>
    <row r="1435" spans="1:2">
      <c r="A1435">
        <v>90501309</v>
      </c>
      <c r="B1435" t="s">
        <v>2010</v>
      </c>
    </row>
    <row r="1436" spans="1:2">
      <c r="A1436">
        <v>90599901</v>
      </c>
      <c r="B1436" t="s">
        <v>2012</v>
      </c>
    </row>
    <row r="1437" spans="1:2">
      <c r="A1437">
        <v>90599902</v>
      </c>
      <c r="B1437" t="s">
        <v>2013</v>
      </c>
    </row>
    <row r="1438" spans="1:2">
      <c r="A1438">
        <v>90599903</v>
      </c>
      <c r="B1438" t="s">
        <v>2014</v>
      </c>
    </row>
    <row r="1439" spans="1:2">
      <c r="A1439">
        <v>90599904</v>
      </c>
      <c r="B1439" t="s">
        <v>2015</v>
      </c>
    </row>
    <row r="1440" spans="1:2">
      <c r="A1440">
        <v>90599905</v>
      </c>
      <c r="B1440" t="s">
        <v>2016</v>
      </c>
    </row>
    <row r="1441" spans="1:2">
      <c r="A1441">
        <v>90599906</v>
      </c>
      <c r="B1441" t="s">
        <v>2017</v>
      </c>
    </row>
    <row r="1442" spans="1:2">
      <c r="A1442">
        <v>90599907</v>
      </c>
      <c r="B1442" t="s">
        <v>2018</v>
      </c>
    </row>
    <row r="1443" spans="1:2">
      <c r="A1443">
        <v>90599908</v>
      </c>
      <c r="B1443" t="s">
        <v>2019</v>
      </c>
    </row>
    <row r="1444" spans="1:2">
      <c r="A1444">
        <v>90599909</v>
      </c>
      <c r="B1444" t="s">
        <v>2020</v>
      </c>
    </row>
    <row r="1445" spans="1:2">
      <c r="A1445">
        <v>90599910</v>
      </c>
      <c r="B1445" t="s">
        <v>2021</v>
      </c>
    </row>
    <row r="1446" spans="1:2">
      <c r="A1446">
        <v>90599911</v>
      </c>
      <c r="B1446" t="s">
        <v>2022</v>
      </c>
    </row>
    <row r="1447" spans="1:2">
      <c r="A1447">
        <v>90599912</v>
      </c>
      <c r="B1447" t="s">
        <v>2023</v>
      </c>
    </row>
    <row r="1448" spans="1:2">
      <c r="A1448">
        <v>90599913</v>
      </c>
      <c r="B1448" t="s">
        <v>2024</v>
      </c>
    </row>
    <row r="1449" spans="1:2">
      <c r="A1449">
        <v>90599914</v>
      </c>
      <c r="B1449" t="s">
        <v>2025</v>
      </c>
    </row>
    <row r="1450" spans="1:2">
      <c r="A1450">
        <v>90599915</v>
      </c>
      <c r="B1450" t="s">
        <v>2026</v>
      </c>
    </row>
    <row r="1451" spans="1:2">
      <c r="A1451">
        <v>90599916</v>
      </c>
      <c r="B1451" t="s">
        <v>2027</v>
      </c>
    </row>
    <row r="1452" spans="1:2">
      <c r="A1452">
        <v>90599917</v>
      </c>
      <c r="B1452" t="s">
        <v>2028</v>
      </c>
    </row>
    <row r="1453" spans="1:2">
      <c r="A1453">
        <v>90599918</v>
      </c>
      <c r="B1453" t="s">
        <v>2029</v>
      </c>
    </row>
    <row r="1454" spans="1:2">
      <c r="A1454">
        <v>90599919</v>
      </c>
      <c r="B1454" t="s">
        <v>2030</v>
      </c>
    </row>
    <row r="1455" spans="1:2">
      <c r="A1455">
        <v>90599920</v>
      </c>
      <c r="B1455" t="s">
        <v>2031</v>
      </c>
    </row>
    <row r="1456" spans="1:2">
      <c r="A1456">
        <v>90599921</v>
      </c>
      <c r="B1456" t="s">
        <v>2032</v>
      </c>
    </row>
    <row r="1457" spans="1:2">
      <c r="A1457">
        <v>90599922</v>
      </c>
      <c r="B1457" t="s">
        <v>2033</v>
      </c>
    </row>
    <row r="1458" spans="1:2">
      <c r="A1458">
        <v>90599923</v>
      </c>
      <c r="B1458" t="s">
        <v>2034</v>
      </c>
    </row>
    <row r="1459" spans="1:2">
      <c r="A1459">
        <v>90599924</v>
      </c>
      <c r="B1459" t="s">
        <v>2035</v>
      </c>
    </row>
    <row r="1460" spans="1:2">
      <c r="A1460">
        <v>90599925</v>
      </c>
      <c r="B1460" t="s">
        <v>2036</v>
      </c>
    </row>
    <row r="1461" spans="1:2">
      <c r="A1461">
        <v>90599926</v>
      </c>
      <c r="B1461" t="s">
        <v>2037</v>
      </c>
    </row>
    <row r="1462" spans="1:2">
      <c r="A1462">
        <v>90599927</v>
      </c>
      <c r="B1462" t="s">
        <v>2038</v>
      </c>
    </row>
    <row r="1463" spans="1:2">
      <c r="A1463">
        <v>90501010</v>
      </c>
      <c r="B1463" t="s">
        <v>1967</v>
      </c>
    </row>
    <row r="1464" spans="1:2">
      <c r="A1464">
        <v>90501011</v>
      </c>
      <c r="B1464" t="s">
        <v>1968</v>
      </c>
    </row>
    <row r="1465" spans="1:2">
      <c r="A1465">
        <v>90501012</v>
      </c>
      <c r="B1465" t="s">
        <v>1969</v>
      </c>
    </row>
    <row r="1466" spans="1:2">
      <c r="A1466">
        <v>90501013</v>
      </c>
      <c r="B1466" t="s">
        <v>1970</v>
      </c>
    </row>
    <row r="1467" spans="1:2">
      <c r="A1467">
        <v>90501014</v>
      </c>
      <c r="B1467" t="s">
        <v>1971</v>
      </c>
    </row>
    <row r="1468" spans="1:2">
      <c r="A1468">
        <v>90501015</v>
      </c>
      <c r="B1468" t="s">
        <v>1972</v>
      </c>
    </row>
    <row r="1469" spans="1:2">
      <c r="A1469">
        <v>90501016</v>
      </c>
      <c r="B1469" t="s">
        <v>1973</v>
      </c>
    </row>
    <row r="1470" spans="1:2">
      <c r="A1470">
        <v>90501017</v>
      </c>
      <c r="B1470" t="s">
        <v>1974</v>
      </c>
    </row>
    <row r="1471" spans="1:2">
      <c r="A1471">
        <v>90501018</v>
      </c>
      <c r="B1471" t="s">
        <v>1975</v>
      </c>
    </row>
    <row r="1472" spans="1:2">
      <c r="A1472">
        <v>90501019</v>
      </c>
      <c r="B1472" t="s">
        <v>1976</v>
      </c>
    </row>
    <row r="1473" spans="1:2">
      <c r="A1473">
        <v>90501020</v>
      </c>
      <c r="B1473" t="s">
        <v>1977</v>
      </c>
    </row>
    <row r="1474" spans="1:2">
      <c r="A1474">
        <v>90501021</v>
      </c>
      <c r="B1474" t="s">
        <v>1978</v>
      </c>
    </row>
    <row r="1475" spans="1:2">
      <c r="A1475">
        <v>90501022</v>
      </c>
      <c r="B1475" t="s">
        <v>1979</v>
      </c>
    </row>
    <row r="1476" spans="1:2">
      <c r="A1476">
        <v>90501023</v>
      </c>
      <c r="B1476" t="s">
        <v>1980</v>
      </c>
    </row>
    <row r="1477" spans="1:2">
      <c r="A1477">
        <v>90501024</v>
      </c>
      <c r="B1477" t="s">
        <v>1981</v>
      </c>
    </row>
    <row r="1478" spans="1:2">
      <c r="A1478">
        <v>90501025</v>
      </c>
      <c r="B1478" t="s">
        <v>1982</v>
      </c>
    </row>
    <row r="1479" spans="1:2">
      <c r="A1479">
        <v>90501110</v>
      </c>
      <c r="B1479" t="s">
        <v>1967</v>
      </c>
    </row>
    <row r="1480" spans="1:2">
      <c r="A1480">
        <v>90501111</v>
      </c>
      <c r="B1480" t="s">
        <v>1968</v>
      </c>
    </row>
    <row r="1481" spans="1:2">
      <c r="A1481">
        <v>90501112</v>
      </c>
      <c r="B1481" t="s">
        <v>1969</v>
      </c>
    </row>
    <row r="1482" spans="1:2">
      <c r="A1482">
        <v>90501113</v>
      </c>
      <c r="B1482" t="s">
        <v>1992</v>
      </c>
    </row>
    <row r="1483" spans="1:2">
      <c r="A1483">
        <v>90501114</v>
      </c>
      <c r="B1483" t="s">
        <v>1971</v>
      </c>
    </row>
    <row r="1484" spans="1:2">
      <c r="A1484">
        <v>90501115</v>
      </c>
      <c r="B1484" t="s">
        <v>1972</v>
      </c>
    </row>
    <row r="1485" spans="1:2">
      <c r="A1485">
        <v>90501116</v>
      </c>
      <c r="B1485" t="s">
        <v>1973</v>
      </c>
    </row>
    <row r="1486" spans="1:2">
      <c r="A1486">
        <v>90501117</v>
      </c>
      <c r="B1486" t="s">
        <v>1974</v>
      </c>
    </row>
    <row r="1487" spans="1:2">
      <c r="A1487">
        <v>90501118</v>
      </c>
      <c r="B1487" t="s">
        <v>1975</v>
      </c>
    </row>
    <row r="1488" spans="1:2">
      <c r="A1488">
        <v>90501119</v>
      </c>
      <c r="B1488" t="s">
        <v>1976</v>
      </c>
    </row>
    <row r="1489" spans="1:2">
      <c r="A1489">
        <v>90501120</v>
      </c>
      <c r="B1489" t="s">
        <v>1977</v>
      </c>
    </row>
    <row r="1490" spans="1:2">
      <c r="A1490">
        <v>90501121</v>
      </c>
      <c r="B1490" t="s">
        <v>1978</v>
      </c>
    </row>
    <row r="1491" spans="1:2">
      <c r="A1491">
        <v>90501122</v>
      </c>
      <c r="B1491" t="s">
        <v>1979</v>
      </c>
    </row>
    <row r="1492" spans="1:2">
      <c r="A1492">
        <v>90501123</v>
      </c>
      <c r="B1492" t="s">
        <v>1980</v>
      </c>
    </row>
    <row r="1493" spans="1:2">
      <c r="A1493">
        <v>90501124</v>
      </c>
      <c r="B1493" t="s">
        <v>1981</v>
      </c>
    </row>
    <row r="1494" spans="1:2">
      <c r="A1494">
        <v>90501125</v>
      </c>
      <c r="B1494" t="s">
        <v>1982</v>
      </c>
    </row>
    <row r="1495" spans="1:2">
      <c r="A1495">
        <v>90501210</v>
      </c>
      <c r="B1495" t="s">
        <v>1967</v>
      </c>
    </row>
    <row r="1496" spans="1:2">
      <c r="A1496">
        <v>90501211</v>
      </c>
      <c r="B1496" t="s">
        <v>1968</v>
      </c>
    </row>
    <row r="1497" spans="1:2">
      <c r="A1497">
        <v>90501212</v>
      </c>
      <c r="B1497" t="s">
        <v>1969</v>
      </c>
    </row>
    <row r="1498" spans="1:2">
      <c r="A1498">
        <v>90501213</v>
      </c>
      <c r="B1498" t="s">
        <v>1992</v>
      </c>
    </row>
    <row r="1499" spans="1:2">
      <c r="A1499">
        <v>90501214</v>
      </c>
      <c r="B1499" t="s">
        <v>1971</v>
      </c>
    </row>
    <row r="1500" spans="1:2">
      <c r="A1500">
        <v>90501215</v>
      </c>
      <c r="B1500" t="s">
        <v>1972</v>
      </c>
    </row>
    <row r="1501" spans="1:2">
      <c r="A1501">
        <v>90501216</v>
      </c>
      <c r="B1501" t="s">
        <v>1973</v>
      </c>
    </row>
    <row r="1502" spans="1:2">
      <c r="A1502">
        <v>90501217</v>
      </c>
      <c r="B1502" t="s">
        <v>1974</v>
      </c>
    </row>
    <row r="1503" spans="1:2">
      <c r="A1503">
        <v>90501218</v>
      </c>
      <c r="B1503" t="s">
        <v>1975</v>
      </c>
    </row>
    <row r="1504" spans="1:2">
      <c r="A1504">
        <v>90501219</v>
      </c>
      <c r="B1504" t="s">
        <v>1976</v>
      </c>
    </row>
    <row r="1505" spans="1:2">
      <c r="A1505">
        <v>90501220</v>
      </c>
      <c r="B1505" t="s">
        <v>1977</v>
      </c>
    </row>
    <row r="1506" spans="1:2">
      <c r="A1506">
        <v>90501221</v>
      </c>
      <c r="B1506" t="s">
        <v>1978</v>
      </c>
    </row>
    <row r="1507" spans="1:2">
      <c r="A1507">
        <v>90501222</v>
      </c>
      <c r="B1507" t="s">
        <v>1979</v>
      </c>
    </row>
    <row r="1508" spans="1:2">
      <c r="A1508">
        <v>90501223</v>
      </c>
      <c r="B1508" t="s">
        <v>1980</v>
      </c>
    </row>
    <row r="1509" spans="1:2">
      <c r="A1509">
        <v>90501224</v>
      </c>
      <c r="B1509" t="s">
        <v>1981</v>
      </c>
    </row>
    <row r="1510" spans="1:2">
      <c r="A1510">
        <v>90501225</v>
      </c>
      <c r="B1510" t="s">
        <v>1982</v>
      </c>
    </row>
    <row r="1511" spans="1:2">
      <c r="A1511">
        <v>90501310</v>
      </c>
      <c r="B1511" t="s">
        <v>1967</v>
      </c>
    </row>
    <row r="1512" spans="1:2">
      <c r="A1512">
        <v>90501311</v>
      </c>
      <c r="B1512" t="s">
        <v>1968</v>
      </c>
    </row>
    <row r="1513" spans="1:2">
      <c r="A1513">
        <v>90501312</v>
      </c>
      <c r="B1513" t="s">
        <v>1969</v>
      </c>
    </row>
    <row r="1514" spans="1:2">
      <c r="A1514">
        <v>90501313</v>
      </c>
      <c r="B1514" t="s">
        <v>2011</v>
      </c>
    </row>
    <row r="1515" spans="1:2">
      <c r="A1515">
        <v>90501314</v>
      </c>
      <c r="B1515" t="s">
        <v>1971</v>
      </c>
    </row>
    <row r="1516" spans="1:2">
      <c r="A1516">
        <v>90501315</v>
      </c>
      <c r="B1516" t="s">
        <v>1972</v>
      </c>
    </row>
    <row r="1517" spans="1:2">
      <c r="A1517">
        <v>90501316</v>
      </c>
      <c r="B1517" t="s">
        <v>1973</v>
      </c>
    </row>
    <row r="1518" spans="1:2">
      <c r="A1518">
        <v>90501317</v>
      </c>
      <c r="B1518" t="s">
        <v>1974</v>
      </c>
    </row>
    <row r="1519" spans="1:2">
      <c r="A1519">
        <v>90501318</v>
      </c>
      <c r="B1519" t="s">
        <v>1975</v>
      </c>
    </row>
    <row r="1520" spans="1:2">
      <c r="A1520">
        <v>90501319</v>
      </c>
      <c r="B1520" t="s">
        <v>1976</v>
      </c>
    </row>
    <row r="1521" spans="1:2">
      <c r="A1521">
        <v>90501320</v>
      </c>
      <c r="B1521" t="s">
        <v>1977</v>
      </c>
    </row>
    <row r="1522" spans="1:2">
      <c r="A1522">
        <v>90501321</v>
      </c>
      <c r="B1522" t="s">
        <v>1978</v>
      </c>
    </row>
    <row r="1523" spans="1:2">
      <c r="A1523">
        <v>90501322</v>
      </c>
      <c r="B1523" t="s">
        <v>1979</v>
      </c>
    </row>
    <row r="1524" spans="1:2">
      <c r="A1524">
        <v>90501323</v>
      </c>
      <c r="B1524" t="s">
        <v>1980</v>
      </c>
    </row>
    <row r="1525" spans="1:2">
      <c r="A1525">
        <v>90501324</v>
      </c>
      <c r="B1525" t="s">
        <v>1981</v>
      </c>
    </row>
    <row r="1526" spans="1:2">
      <c r="A1526">
        <v>90501325</v>
      </c>
      <c r="B1526" t="s">
        <v>1982</v>
      </c>
    </row>
    <row r="1527" spans="1:2">
      <c r="A1527">
        <v>90599928</v>
      </c>
      <c r="B1527" t="s">
        <v>2453</v>
      </c>
    </row>
    <row r="1528" spans="1:2">
      <c r="A1528">
        <v>90599929</v>
      </c>
      <c r="B1528" t="s">
        <v>2039</v>
      </c>
    </row>
    <row r="1529" spans="1:2">
      <c r="A1529">
        <v>90599930</v>
      </c>
      <c r="B1529" t="s">
        <v>2040</v>
      </c>
    </row>
    <row r="1530" spans="1:2">
      <c r="A1530">
        <v>90599931</v>
      </c>
      <c r="B1530" t="s">
        <v>2041</v>
      </c>
    </row>
    <row r="1531" spans="1:2">
      <c r="A1531">
        <v>90599932</v>
      </c>
      <c r="B1531" t="s">
        <v>2042</v>
      </c>
    </row>
    <row r="1532" spans="1:2">
      <c r="A1532">
        <v>90599933</v>
      </c>
      <c r="B1532" t="s">
        <v>2043</v>
      </c>
    </row>
    <row r="1533" spans="1:2">
      <c r="A1533">
        <v>90599934</v>
      </c>
      <c r="B1533" t="s">
        <v>2044</v>
      </c>
    </row>
    <row r="1534" spans="1:2">
      <c r="A1534">
        <v>90599935</v>
      </c>
      <c r="B1534" t="s">
        <v>2045</v>
      </c>
    </row>
    <row r="1535" spans="1:2">
      <c r="A1535">
        <v>90599936</v>
      </c>
      <c r="B1535" t="s">
        <v>2046</v>
      </c>
    </row>
    <row r="1536" spans="1:2">
      <c r="A1536">
        <v>90599937</v>
      </c>
      <c r="B1536" t="s">
        <v>2047</v>
      </c>
    </row>
    <row r="1537" spans="1:2">
      <c r="A1537">
        <v>90599938</v>
      </c>
      <c r="B1537" t="s">
        <v>2048</v>
      </c>
    </row>
    <row r="1538" spans="1:2">
      <c r="A1538">
        <v>90599939</v>
      </c>
      <c r="B1538" t="s">
        <v>2049</v>
      </c>
    </row>
    <row r="1539" spans="1:2">
      <c r="A1539">
        <v>90599940</v>
      </c>
      <c r="B1539" t="s">
        <v>2050</v>
      </c>
    </row>
    <row r="1540" spans="1:2">
      <c r="A1540">
        <v>90599941</v>
      </c>
      <c r="B1540" t="s">
        <v>2051</v>
      </c>
    </row>
    <row r="1541" spans="1:2">
      <c r="A1541">
        <v>90599942</v>
      </c>
      <c r="B1541" t="s">
        <v>2052</v>
      </c>
    </row>
    <row r="1542" spans="1:2">
      <c r="A1542">
        <v>90599943</v>
      </c>
      <c r="B1542" t="s">
        <v>2053</v>
      </c>
    </row>
    <row r="1543" spans="1:2">
      <c r="A1543">
        <v>91002501</v>
      </c>
      <c r="B1543" t="s">
        <v>2054</v>
      </c>
    </row>
    <row r="1544" spans="1:2">
      <c r="A1544">
        <v>91002601</v>
      </c>
      <c r="B1544" t="s">
        <v>2055</v>
      </c>
    </row>
    <row r="1545" spans="1:2">
      <c r="A1545">
        <v>91002701</v>
      </c>
      <c r="B1545" t="s">
        <v>2056</v>
      </c>
    </row>
    <row r="1546" spans="1:2">
      <c r="A1546">
        <v>91002801</v>
      </c>
      <c r="B1546" t="s">
        <v>2057</v>
      </c>
    </row>
    <row r="1547" spans="1:2">
      <c r="A1547">
        <v>91002901</v>
      </c>
      <c r="B1547" t="s">
        <v>2058</v>
      </c>
    </row>
    <row r="1548" spans="1:2">
      <c r="A1548">
        <v>91004101</v>
      </c>
      <c r="B1548" t="s">
        <v>2059</v>
      </c>
    </row>
    <row r="1549" spans="1:2">
      <c r="A1549">
        <v>91004601</v>
      </c>
      <c r="B1549" t="s">
        <v>2060</v>
      </c>
    </row>
    <row r="1550" spans="1:2">
      <c r="A1550">
        <v>91004803</v>
      </c>
      <c r="B1550" t="s">
        <v>2061</v>
      </c>
    </row>
    <row r="1551" spans="1:2">
      <c r="A1551">
        <v>91004804</v>
      </c>
      <c r="B1551" t="s">
        <v>2062</v>
      </c>
    </row>
    <row r="1552" spans="1:2">
      <c r="A1552">
        <v>92005601</v>
      </c>
      <c r="B1552" t="s">
        <v>2063</v>
      </c>
    </row>
    <row r="1553" spans="1:2">
      <c r="A1553">
        <v>92099901</v>
      </c>
      <c r="B1553" t="s">
        <v>2064</v>
      </c>
    </row>
    <row r="1554" spans="1:2">
      <c r="A1554">
        <v>92099902</v>
      </c>
      <c r="B1554" t="s">
        <v>2065</v>
      </c>
    </row>
    <row r="1555" spans="1:2">
      <c r="A1555">
        <v>92505901</v>
      </c>
      <c r="B1555" t="s">
        <v>2066</v>
      </c>
    </row>
    <row r="1556" spans="1:2">
      <c r="A1556">
        <v>92505902</v>
      </c>
      <c r="B1556" t="s">
        <v>2067</v>
      </c>
    </row>
    <row r="1557" spans="1:2">
      <c r="A1557">
        <v>92505903</v>
      </c>
      <c r="B1557" t="s">
        <v>2068</v>
      </c>
    </row>
    <row r="1558" spans="1:2">
      <c r="A1558">
        <v>92505904</v>
      </c>
      <c r="B1558" t="s">
        <v>2069</v>
      </c>
    </row>
    <row r="1559" spans="1:2">
      <c r="A1559">
        <v>92505905</v>
      </c>
      <c r="B1559" t="s">
        <v>2070</v>
      </c>
    </row>
    <row r="1560" spans="1:2">
      <c r="A1560">
        <v>92505906</v>
      </c>
      <c r="B1560" t="s">
        <v>2071</v>
      </c>
    </row>
    <row r="1561" spans="1:2">
      <c r="A1561">
        <v>92505907</v>
      </c>
      <c r="B1561" t="s">
        <v>2072</v>
      </c>
    </row>
    <row r="1562" spans="1:2">
      <c r="A1562">
        <v>92505908</v>
      </c>
      <c r="B1562" t="s">
        <v>2073</v>
      </c>
    </row>
    <row r="1563" spans="1:2">
      <c r="A1563">
        <v>92505909</v>
      </c>
      <c r="B1563" t="s">
        <v>2074</v>
      </c>
    </row>
    <row r="1564" spans="1:2">
      <c r="A1564">
        <v>92505910</v>
      </c>
      <c r="B1564" t="s">
        <v>2075</v>
      </c>
    </row>
    <row r="1565" spans="1:2">
      <c r="A1565">
        <v>92505911</v>
      </c>
      <c r="B1565" t="s">
        <v>2076</v>
      </c>
    </row>
    <row r="1566" spans="1:2">
      <c r="A1566">
        <v>92505912</v>
      </c>
      <c r="B1566" t="s">
        <v>2077</v>
      </c>
    </row>
    <row r="1567" spans="1:2">
      <c r="A1567">
        <v>92505913</v>
      </c>
      <c r="B1567" t="s">
        <v>2078</v>
      </c>
    </row>
    <row r="1568" spans="1:2">
      <c r="A1568">
        <v>92505914</v>
      </c>
      <c r="B1568" t="s">
        <v>2079</v>
      </c>
    </row>
    <row r="1569" spans="1:2">
      <c r="A1569">
        <v>92505915</v>
      </c>
      <c r="B1569" t="s">
        <v>2080</v>
      </c>
    </row>
    <row r="1570" spans="1:2">
      <c r="A1570">
        <v>92505916</v>
      </c>
      <c r="B1570" t="s">
        <v>2081</v>
      </c>
    </row>
    <row r="1571" spans="1:2">
      <c r="A1571">
        <v>92505917</v>
      </c>
      <c r="B1571" t="s">
        <v>2082</v>
      </c>
    </row>
    <row r="1572" spans="1:2">
      <c r="A1572">
        <v>92505918</v>
      </c>
      <c r="B1572" t="s">
        <v>2083</v>
      </c>
    </row>
    <row r="1573" spans="1:2">
      <c r="A1573">
        <v>92505919</v>
      </c>
      <c r="B1573" t="s">
        <v>2084</v>
      </c>
    </row>
    <row r="1574" spans="1:2">
      <c r="A1574">
        <v>92505920</v>
      </c>
      <c r="B1574" t="s">
        <v>2085</v>
      </c>
    </row>
    <row r="1575" spans="1:2">
      <c r="A1575">
        <v>92505921</v>
      </c>
      <c r="B1575" t="s">
        <v>2086</v>
      </c>
    </row>
    <row r="1576" spans="1:2">
      <c r="A1576">
        <v>92505922</v>
      </c>
      <c r="B1576" t="s">
        <v>2087</v>
      </c>
    </row>
    <row r="1577" spans="1:2">
      <c r="A1577">
        <v>92505923</v>
      </c>
      <c r="B1577" t="s">
        <v>2088</v>
      </c>
    </row>
    <row r="1578" spans="1:2">
      <c r="A1578">
        <v>92505924</v>
      </c>
      <c r="B1578" t="s">
        <v>2089</v>
      </c>
    </row>
    <row r="1579" spans="1:2">
      <c r="A1579">
        <v>92505925</v>
      </c>
      <c r="B1579" t="s">
        <v>2090</v>
      </c>
    </row>
    <row r="1580" spans="1:2">
      <c r="A1580">
        <v>92505926</v>
      </c>
      <c r="B1580" t="s">
        <v>2091</v>
      </c>
    </row>
    <row r="1581" spans="1:2">
      <c r="A1581">
        <v>92505927</v>
      </c>
      <c r="B1581" t="s">
        <v>2092</v>
      </c>
    </row>
    <row r="1582" spans="1:2">
      <c r="A1582">
        <v>92505928</v>
      </c>
      <c r="B1582" t="s">
        <v>2093</v>
      </c>
    </row>
    <row r="1583" spans="1:2">
      <c r="A1583">
        <v>92505929</v>
      </c>
      <c r="B1583" t="s">
        <v>2094</v>
      </c>
    </row>
    <row r="1584" spans="1:2">
      <c r="A1584">
        <v>92505930</v>
      </c>
      <c r="B1584" t="s">
        <v>2095</v>
      </c>
    </row>
    <row r="1585" spans="1:2">
      <c r="A1585">
        <v>92505931</v>
      </c>
      <c r="B1585" t="s">
        <v>2096</v>
      </c>
    </row>
    <row r="1586" spans="1:2">
      <c r="A1586">
        <v>92505932</v>
      </c>
      <c r="B1586" t="s">
        <v>2097</v>
      </c>
    </row>
    <row r="1587" spans="1:2">
      <c r="A1587">
        <v>92505933</v>
      </c>
      <c r="B1587" t="s">
        <v>2098</v>
      </c>
    </row>
    <row r="1588" spans="1:2">
      <c r="A1588">
        <v>92505934</v>
      </c>
      <c r="B1588" t="s">
        <v>2099</v>
      </c>
    </row>
    <row r="1589" spans="1:2">
      <c r="A1589">
        <v>92505935</v>
      </c>
      <c r="B1589" t="s">
        <v>2100</v>
      </c>
    </row>
    <row r="1590" spans="1:2">
      <c r="A1590">
        <v>92505936</v>
      </c>
      <c r="B1590" t="s">
        <v>2101</v>
      </c>
    </row>
    <row r="1591" spans="1:2">
      <c r="A1591">
        <v>92505937</v>
      </c>
      <c r="B1591" t="s">
        <v>2102</v>
      </c>
    </row>
    <row r="1592" spans="1:2">
      <c r="A1592">
        <v>92505938</v>
      </c>
      <c r="B1592" t="s">
        <v>2103</v>
      </c>
    </row>
    <row r="1593" spans="1:2">
      <c r="A1593">
        <v>92505939</v>
      </c>
      <c r="B1593" t="s">
        <v>2104</v>
      </c>
    </row>
    <row r="1594" spans="1:2">
      <c r="A1594">
        <v>92505940</v>
      </c>
      <c r="B1594" t="s">
        <v>2105</v>
      </c>
    </row>
    <row r="1595" spans="1:2">
      <c r="A1595">
        <v>92505941</v>
      </c>
      <c r="B1595" t="s">
        <v>2106</v>
      </c>
    </row>
    <row r="1596" spans="1:2">
      <c r="A1596">
        <v>92505942</v>
      </c>
      <c r="B1596" t="s">
        <v>2107</v>
      </c>
    </row>
    <row r="1597" spans="1:2">
      <c r="A1597">
        <v>92505943</v>
      </c>
      <c r="B1597" t="s">
        <v>2108</v>
      </c>
    </row>
    <row r="1598" spans="1:2">
      <c r="A1598">
        <v>92505944</v>
      </c>
      <c r="B1598" t="s">
        <v>2109</v>
      </c>
    </row>
    <row r="1599" spans="1:2">
      <c r="A1599">
        <v>92505945</v>
      </c>
      <c r="B1599" t="s">
        <v>2110</v>
      </c>
    </row>
    <row r="1600" spans="1:2">
      <c r="A1600">
        <v>92505946</v>
      </c>
      <c r="B1600" t="s">
        <v>2111</v>
      </c>
    </row>
    <row r="1601" spans="1:2">
      <c r="A1601">
        <v>92505947</v>
      </c>
      <c r="B1601" t="s">
        <v>2112</v>
      </c>
    </row>
    <row r="1602" spans="1:2">
      <c r="A1602">
        <v>92505948</v>
      </c>
      <c r="B1602" t="s">
        <v>2113</v>
      </c>
    </row>
    <row r="1603" spans="1:2">
      <c r="A1603">
        <v>92505949</v>
      </c>
      <c r="B1603" t="s">
        <v>2114</v>
      </c>
    </row>
    <row r="1604" spans="1:2">
      <c r="A1604">
        <v>92505950</v>
      </c>
      <c r="B1604" t="s">
        <v>2115</v>
      </c>
    </row>
    <row r="1605" spans="1:2">
      <c r="A1605">
        <v>92505951</v>
      </c>
      <c r="B1605" t="s">
        <v>2116</v>
      </c>
    </row>
    <row r="1606" spans="1:2">
      <c r="A1606">
        <v>92505952</v>
      </c>
      <c r="B1606" t="s">
        <v>2117</v>
      </c>
    </row>
    <row r="1607" spans="1:2">
      <c r="A1607">
        <v>92505953</v>
      </c>
      <c r="B1607" t="s">
        <v>2118</v>
      </c>
    </row>
    <row r="1608" spans="1:2">
      <c r="A1608">
        <v>92505954</v>
      </c>
      <c r="B1608" t="s">
        <v>2119</v>
      </c>
    </row>
    <row r="1609" spans="1:2">
      <c r="A1609">
        <v>92505955</v>
      </c>
      <c r="B1609" t="s">
        <v>2120</v>
      </c>
    </row>
    <row r="1610" spans="1:2">
      <c r="A1610">
        <v>92505956</v>
      </c>
      <c r="B1610" t="s">
        <v>2121</v>
      </c>
    </row>
    <row r="1611" spans="1:2">
      <c r="A1611">
        <v>92505957</v>
      </c>
      <c r="B1611" t="s">
        <v>2122</v>
      </c>
    </row>
    <row r="1612" spans="1:2">
      <c r="A1612">
        <v>92505958</v>
      </c>
      <c r="B1612" t="s">
        <v>2123</v>
      </c>
    </row>
    <row r="1613" spans="1:2">
      <c r="A1613">
        <v>92505959</v>
      </c>
      <c r="B1613" t="s">
        <v>2124</v>
      </c>
    </row>
    <row r="1614" spans="1:2">
      <c r="A1614">
        <v>92505960</v>
      </c>
      <c r="B1614" t="s">
        <v>2125</v>
      </c>
    </row>
    <row r="1615" spans="1:2">
      <c r="A1615">
        <v>92505961</v>
      </c>
      <c r="B1615" t="s">
        <v>2126</v>
      </c>
    </row>
    <row r="1616" spans="1:2">
      <c r="A1616">
        <v>92505962</v>
      </c>
      <c r="B1616" t="s">
        <v>2127</v>
      </c>
    </row>
    <row r="1617" spans="1:2">
      <c r="A1617">
        <v>92505963</v>
      </c>
      <c r="B1617" t="s">
        <v>2128</v>
      </c>
    </row>
    <row r="1618" spans="1:2">
      <c r="A1618">
        <v>92505964</v>
      </c>
      <c r="B1618" t="s">
        <v>2129</v>
      </c>
    </row>
    <row r="1619" spans="1:2">
      <c r="A1619">
        <v>92505965</v>
      </c>
      <c r="B1619" t="s">
        <v>2130</v>
      </c>
    </row>
    <row r="1620" spans="1:2">
      <c r="A1620">
        <v>92505966</v>
      </c>
      <c r="B1620" t="s">
        <v>2131</v>
      </c>
    </row>
    <row r="1621" spans="1:2">
      <c r="A1621">
        <v>92505967</v>
      </c>
      <c r="B1621" t="s">
        <v>2132</v>
      </c>
    </row>
    <row r="1622" spans="1:2">
      <c r="A1622">
        <v>92505968</v>
      </c>
      <c r="B1622" t="s">
        <v>2133</v>
      </c>
    </row>
    <row r="1623" spans="1:2">
      <c r="A1623">
        <v>92505969</v>
      </c>
      <c r="B1623" t="s">
        <v>2134</v>
      </c>
    </row>
    <row r="1624" spans="1:2">
      <c r="A1624">
        <v>92505970</v>
      </c>
      <c r="B1624" t="s">
        <v>2135</v>
      </c>
    </row>
    <row r="1625" spans="1:2">
      <c r="A1625">
        <v>92505971</v>
      </c>
      <c r="B1625" t="s">
        <v>2136</v>
      </c>
    </row>
    <row r="1626" spans="1:2">
      <c r="A1626">
        <v>92505972</v>
      </c>
      <c r="B1626" t="s">
        <v>2137</v>
      </c>
    </row>
    <row r="1627" spans="1:2">
      <c r="A1627">
        <v>92505973</v>
      </c>
      <c r="B1627" t="s">
        <v>2138</v>
      </c>
    </row>
    <row r="1628" spans="1:2">
      <c r="A1628">
        <v>92505974</v>
      </c>
      <c r="B1628" t="s">
        <v>2139</v>
      </c>
    </row>
    <row r="1629" spans="1:2">
      <c r="A1629">
        <v>92505975</v>
      </c>
      <c r="B1629" t="s">
        <v>2140</v>
      </c>
    </row>
    <row r="1630" spans="1:2">
      <c r="A1630">
        <v>92505976</v>
      </c>
      <c r="B1630" t="s">
        <v>2141</v>
      </c>
    </row>
    <row r="1631" spans="1:2">
      <c r="A1631">
        <v>92505977</v>
      </c>
      <c r="B1631" t="s">
        <v>2142</v>
      </c>
    </row>
    <row r="1632" spans="1:2">
      <c r="A1632">
        <v>92505978</v>
      </c>
      <c r="B1632" t="s">
        <v>2143</v>
      </c>
    </row>
    <row r="1633" spans="1:2">
      <c r="A1633">
        <v>92505979</v>
      </c>
      <c r="B1633" t="s">
        <v>2144</v>
      </c>
    </row>
    <row r="1634" spans="1:2">
      <c r="A1634">
        <v>92505980</v>
      </c>
      <c r="B1634" t="s">
        <v>2145</v>
      </c>
    </row>
    <row r="1635" spans="1:2">
      <c r="A1635">
        <v>92505981</v>
      </c>
      <c r="B1635" t="s">
        <v>2146</v>
      </c>
    </row>
    <row r="1636" spans="1:2">
      <c r="A1636">
        <v>92505982</v>
      </c>
      <c r="B1636" t="s">
        <v>2147</v>
      </c>
    </row>
    <row r="1637" spans="1:2">
      <c r="A1637">
        <v>92505983</v>
      </c>
      <c r="B1637" t="s">
        <v>2148</v>
      </c>
    </row>
    <row r="1638" spans="1:2">
      <c r="A1638">
        <v>92505984</v>
      </c>
      <c r="B1638" t="s">
        <v>2149</v>
      </c>
    </row>
    <row r="1639" spans="1:2">
      <c r="A1639">
        <v>92505985</v>
      </c>
      <c r="B1639" t="s">
        <v>2150</v>
      </c>
    </row>
    <row r="1640" spans="1:2">
      <c r="A1640">
        <v>92505986</v>
      </c>
      <c r="B1640" t="s">
        <v>2151</v>
      </c>
    </row>
    <row r="1641" spans="1:2">
      <c r="A1641">
        <v>92505987</v>
      </c>
      <c r="B1641" t="s">
        <v>2152</v>
      </c>
    </row>
    <row r="1642" spans="1:2">
      <c r="A1642">
        <v>92505988</v>
      </c>
      <c r="B1642" t="s">
        <v>2153</v>
      </c>
    </row>
    <row r="1643" spans="1:2">
      <c r="A1643">
        <v>92505989</v>
      </c>
      <c r="B1643" t="s">
        <v>2154</v>
      </c>
    </row>
    <row r="1644" spans="1:2">
      <c r="A1644">
        <v>92505990</v>
      </c>
      <c r="B1644" t="s">
        <v>2155</v>
      </c>
    </row>
    <row r="1645" spans="1:2">
      <c r="A1645">
        <v>92505991</v>
      </c>
      <c r="B1645" t="s">
        <v>2156</v>
      </c>
    </row>
    <row r="1646" spans="1:2">
      <c r="A1646">
        <v>92505992</v>
      </c>
      <c r="B1646" t="s">
        <v>2454</v>
      </c>
    </row>
    <row r="1647" spans="1:2">
      <c r="A1647">
        <v>92505993</v>
      </c>
      <c r="B1647" t="s">
        <v>2455</v>
      </c>
    </row>
    <row r="1648" spans="1:2">
      <c r="A1648">
        <v>92505994</v>
      </c>
      <c r="B1648" t="s">
        <v>2456</v>
      </c>
    </row>
    <row r="1649" spans="1:2">
      <c r="A1649">
        <v>92506001</v>
      </c>
      <c r="B1649" t="s">
        <v>2157</v>
      </c>
    </row>
    <row r="1650" spans="1:2">
      <c r="A1650">
        <v>92506002</v>
      </c>
      <c r="B1650" t="s">
        <v>2158</v>
      </c>
    </row>
    <row r="1651" spans="1:2">
      <c r="A1651">
        <v>92506003</v>
      </c>
      <c r="B1651" t="s">
        <v>2159</v>
      </c>
    </row>
    <row r="1652" spans="1:2">
      <c r="A1652">
        <v>92506004</v>
      </c>
      <c r="B1652" t="s">
        <v>2160</v>
      </c>
    </row>
    <row r="1653" spans="1:2">
      <c r="A1653">
        <v>92506005</v>
      </c>
      <c r="B1653" t="s">
        <v>2161</v>
      </c>
    </row>
    <row r="1654" spans="1:2">
      <c r="A1654">
        <v>92506006</v>
      </c>
      <c r="B1654" t="s">
        <v>2162</v>
      </c>
    </row>
    <row r="1655" spans="1:2">
      <c r="A1655">
        <v>92506007</v>
      </c>
      <c r="B1655" t="s">
        <v>2163</v>
      </c>
    </row>
    <row r="1656" spans="1:2">
      <c r="A1656">
        <v>92506008</v>
      </c>
      <c r="B1656" t="s">
        <v>2164</v>
      </c>
    </row>
    <row r="1657" spans="1:2">
      <c r="A1657">
        <v>92506009</v>
      </c>
      <c r="B1657" t="s">
        <v>2165</v>
      </c>
    </row>
    <row r="1658" spans="1:2">
      <c r="A1658">
        <v>92506010</v>
      </c>
      <c r="B1658" t="s">
        <v>2166</v>
      </c>
    </row>
    <row r="1659" spans="1:2">
      <c r="A1659">
        <v>92506011</v>
      </c>
      <c r="B1659" t="s">
        <v>2167</v>
      </c>
    </row>
    <row r="1660" spans="1:2">
      <c r="A1660">
        <v>92506012</v>
      </c>
      <c r="B1660" t="s">
        <v>2168</v>
      </c>
    </row>
    <row r="1661" spans="1:2">
      <c r="A1661">
        <v>92506013</v>
      </c>
      <c r="B1661" t="s">
        <v>2169</v>
      </c>
    </row>
    <row r="1662" spans="1:2">
      <c r="A1662">
        <v>92506014</v>
      </c>
      <c r="B1662" t="s">
        <v>2170</v>
      </c>
    </row>
    <row r="1663" spans="1:2">
      <c r="A1663">
        <v>93006101</v>
      </c>
      <c r="B1663" t="s">
        <v>2171</v>
      </c>
    </row>
    <row r="1664" spans="1:2">
      <c r="A1664">
        <v>93006102</v>
      </c>
      <c r="B1664" t="s">
        <v>2172</v>
      </c>
    </row>
    <row r="1665" spans="1:2">
      <c r="A1665">
        <v>93006103</v>
      </c>
      <c r="B1665" t="s">
        <v>2173</v>
      </c>
    </row>
    <row r="1666" spans="1:2">
      <c r="A1666">
        <v>93006104</v>
      </c>
      <c r="B1666" t="s">
        <v>2174</v>
      </c>
    </row>
    <row r="1667" spans="1:2">
      <c r="A1667">
        <v>93006105</v>
      </c>
      <c r="B1667" t="s">
        <v>2175</v>
      </c>
    </row>
    <row r="1668" spans="1:2">
      <c r="A1668">
        <v>93006106</v>
      </c>
      <c r="B1668" t="s">
        <v>2176</v>
      </c>
    </row>
    <row r="1669" spans="1:2">
      <c r="A1669">
        <v>99906201</v>
      </c>
      <c r="B1669" t="s">
        <v>2177</v>
      </c>
    </row>
    <row r="1670" spans="1:2">
      <c r="A1670" t="s">
        <v>2358</v>
      </c>
      <c r="B1670" t="s">
        <v>2359</v>
      </c>
    </row>
    <row r="1671" spans="1:2">
      <c r="A1671" t="s">
        <v>2360</v>
      </c>
      <c r="B1671" t="s">
        <v>2457</v>
      </c>
    </row>
    <row r="1672" spans="1:2">
      <c r="A1672" t="s">
        <v>2361</v>
      </c>
      <c r="B1672" t="s">
        <v>2458</v>
      </c>
    </row>
    <row r="1673" spans="1:2">
      <c r="A1673" t="s">
        <v>2362</v>
      </c>
      <c r="B1673" t="s">
        <v>2459</v>
      </c>
    </row>
    <row r="1674" spans="1:2">
      <c r="A1674" t="s">
        <v>2363</v>
      </c>
      <c r="B1674" t="s">
        <v>2364</v>
      </c>
    </row>
    <row r="1675" spans="1:2">
      <c r="A1675" t="s">
        <v>2365</v>
      </c>
      <c r="B1675" t="s">
        <v>2366</v>
      </c>
    </row>
    <row r="1676" spans="1:2">
      <c r="A1676" t="s">
        <v>2367</v>
      </c>
      <c r="B1676" t="s">
        <v>2368</v>
      </c>
    </row>
    <row r="1677" spans="1:2">
      <c r="A1677" t="s">
        <v>2369</v>
      </c>
      <c r="B1677" t="s">
        <v>2370</v>
      </c>
    </row>
    <row r="1678" spans="1:2">
      <c r="A1678" t="s">
        <v>2371</v>
      </c>
      <c r="B1678" t="s">
        <v>2372</v>
      </c>
    </row>
    <row r="1679" spans="1:2">
      <c r="A1679" t="s">
        <v>2373</v>
      </c>
      <c r="B1679" t="s">
        <v>2374</v>
      </c>
    </row>
    <row r="1680" spans="1:2">
      <c r="A1680" t="s">
        <v>2375</v>
      </c>
      <c r="B1680" t="s">
        <v>2376</v>
      </c>
    </row>
    <row r="1681" spans="1:2">
      <c r="A1681" t="s">
        <v>2377</v>
      </c>
      <c r="B1681" t="s">
        <v>2378</v>
      </c>
    </row>
    <row r="1682" spans="1:2">
      <c r="A1682" t="s">
        <v>2379</v>
      </c>
      <c r="B1682" t="s">
        <v>2380</v>
      </c>
    </row>
    <row r="1683" spans="1:2">
      <c r="A1683" t="s">
        <v>2381</v>
      </c>
      <c r="B1683" t="s">
        <v>2382</v>
      </c>
    </row>
    <row r="1684" spans="1:2">
      <c r="A1684" t="s">
        <v>2383</v>
      </c>
      <c r="B1684" t="s">
        <v>2384</v>
      </c>
    </row>
    <row r="1685" spans="1:2">
      <c r="A1685" t="s">
        <v>2385</v>
      </c>
      <c r="B1685" t="s">
        <v>2386</v>
      </c>
    </row>
    <row r="1686" spans="1:2">
      <c r="A1686" t="s">
        <v>2387</v>
      </c>
      <c r="B1686" t="s">
        <v>2388</v>
      </c>
    </row>
    <row r="1687" spans="1:2">
      <c r="A1687" t="s">
        <v>2389</v>
      </c>
      <c r="B1687" t="s">
        <v>2390</v>
      </c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>
    <pageSetUpPr fitToPage="1"/>
  </sheetPr>
  <dimension ref="A2:AI117"/>
  <sheetViews>
    <sheetView tabSelected="1" zoomScale="75" zoomScaleNormal="75" workbookViewId="0">
      <selection activeCell="C2" sqref="C2"/>
    </sheetView>
  </sheetViews>
  <sheetFormatPr baseColWidth="10" defaultColWidth="6.6640625" defaultRowHeight="26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1640625" style="39" customWidth="1"/>
    <col min="17" max="33" width="5.1640625" style="1" customWidth="1"/>
    <col min="34" max="16384" width="6.6640625" style="1"/>
  </cols>
  <sheetData>
    <row r="2" spans="1:33" ht="26" customHeight="1">
      <c r="C2" s="37" t="s">
        <v>3047</v>
      </c>
      <c r="E2" s="36" t="s">
        <v>50</v>
      </c>
      <c r="F2" s="39">
        <f>工事1!J2</f>
        <v>7</v>
      </c>
      <c r="G2" s="1" t="s">
        <v>192</v>
      </c>
      <c r="H2" s="4">
        <f>表紙!H25</f>
        <v>11</v>
      </c>
      <c r="I2" s="4" t="s">
        <v>56</v>
      </c>
      <c r="J2" s="39">
        <f>VLOOKUP("EOL",$M$25:$N$65536,2,FALSE)</f>
        <v>11</v>
      </c>
    </row>
    <row r="3" spans="1:33" ht="26" customHeight="1" thickBot="1">
      <c r="C3" s="2741" t="s">
        <v>319</v>
      </c>
      <c r="D3" s="2741"/>
      <c r="E3" s="2741"/>
      <c r="F3" s="2741"/>
      <c r="G3" s="2741"/>
      <c r="H3" s="2741"/>
      <c r="I3" s="2741"/>
      <c r="J3" s="2741"/>
      <c r="K3" s="2741"/>
      <c r="L3" s="2741"/>
      <c r="O3" s="2735" t="s">
        <v>132</v>
      </c>
      <c r="P3" s="2736"/>
      <c r="Q3" s="2736"/>
      <c r="R3" s="2736"/>
      <c r="S3" s="2736"/>
      <c r="T3" s="2736"/>
      <c r="U3" s="2736"/>
      <c r="V3" s="2736"/>
      <c r="W3" s="2736"/>
      <c r="X3" s="2736"/>
      <c r="Y3" s="2736"/>
      <c r="Z3" s="2736"/>
      <c r="AA3" s="2736"/>
      <c r="AB3" s="2736"/>
      <c r="AC3" s="2736"/>
      <c r="AD3" s="2736"/>
      <c r="AE3" s="2736"/>
      <c r="AF3" s="2736"/>
      <c r="AG3" s="2737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742" t="s">
        <v>6</v>
      </c>
      <c r="K4" s="2743"/>
      <c r="L4" s="2744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イ)6号線堺筋本町駅の部-可動式ホーム柵設置に伴う建築工事</v>
      </c>
      <c r="D5" s="112"/>
      <c r="E5" s="97"/>
      <c r="F5" s="292"/>
      <c r="G5" s="113"/>
      <c r="H5" s="83" t="s">
        <v>11</v>
      </c>
      <c r="I5" s="83" t="s">
        <v>11</v>
      </c>
      <c r="J5" s="2738"/>
      <c r="K5" s="2739"/>
      <c r="L5" s="2740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 t="s">
        <v>2506</v>
      </c>
      <c r="E7" s="99"/>
      <c r="F7" s="274">
        <v>1</v>
      </c>
      <c r="G7" s="115" t="s">
        <v>7</v>
      </c>
      <c r="H7" s="101"/>
      <c r="I7" s="101">
        <f>I70</f>
        <v>0</v>
      </c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 t="s">
        <v>2505</v>
      </c>
      <c r="E8" s="99"/>
      <c r="F8" s="274">
        <v>1</v>
      </c>
      <c r="G8" s="115" t="s">
        <v>7</v>
      </c>
      <c r="H8" s="101"/>
      <c r="I8" s="101">
        <f>I93</f>
        <v>2911000</v>
      </c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2911000</v>
      </c>
      <c r="J16" s="65"/>
      <c r="K16" s="65"/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 t="s">
        <v>2465</v>
      </c>
      <c r="E19" s="99"/>
      <c r="F19" s="274">
        <v>1</v>
      </c>
      <c r="G19" s="115" t="s">
        <v>2466</v>
      </c>
      <c r="H19" s="101"/>
      <c r="I19" s="101">
        <f>I47</f>
        <v>76442</v>
      </c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3034</v>
      </c>
      <c r="E20" s="99"/>
      <c r="F20" s="274">
        <v>1</v>
      </c>
      <c r="G20" s="115" t="s">
        <v>7</v>
      </c>
      <c r="H20" s="101"/>
      <c r="I20" s="101">
        <f>+変更諸経費表!L66</f>
        <v>272041</v>
      </c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 t="s">
        <v>3033</v>
      </c>
      <c r="E21" s="99"/>
      <c r="F21" s="274">
        <v>1</v>
      </c>
      <c r="G21" s="115" t="s">
        <v>2466</v>
      </c>
      <c r="H21" s="101"/>
      <c r="I21" s="101">
        <f>+変更諸経費表!L74</f>
        <v>309659</v>
      </c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282</v>
      </c>
      <c r="E22" s="99"/>
      <c r="F22" s="274"/>
      <c r="G22" s="115"/>
      <c r="H22" s="101"/>
      <c r="I22" s="101">
        <f>I19+I20+I21</f>
        <v>658142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 t="s">
        <v>233</v>
      </c>
      <c r="E23" s="99"/>
      <c r="F23" s="274"/>
      <c r="G23" s="115"/>
      <c r="H23" s="101"/>
      <c r="I23" s="101">
        <f>+I16+I22</f>
        <v>3569142</v>
      </c>
      <c r="J23" s="65" t="s">
        <v>3035</v>
      </c>
      <c r="K23" s="65">
        <v>0.74370000000000003</v>
      </c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>
        <f>+変更諸経費表!L79</f>
        <v>2654000</v>
      </c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8</v>
      </c>
      <c r="G25" s="122" t="s">
        <v>87</v>
      </c>
      <c r="H25" s="123">
        <f>H2</f>
        <v>11</v>
      </c>
      <c r="M25" s="40" t="str">
        <f>IF(A27="","EOL","")</f>
        <v/>
      </c>
      <c r="N25" s="1">
        <f>+F25</f>
        <v>8</v>
      </c>
    </row>
    <row r="26" spans="1:35" ht="26" customHeight="1" thickBot="1">
      <c r="C26" s="2741" t="s">
        <v>319</v>
      </c>
      <c r="D26" s="2741"/>
      <c r="E26" s="2741"/>
      <c r="F26" s="2741"/>
      <c r="G26" s="2741"/>
      <c r="H26" s="2741"/>
      <c r="I26" s="2741"/>
      <c r="J26" s="2741"/>
      <c r="K26" s="2741"/>
      <c r="L26" s="2741"/>
      <c r="O26" s="2735" t="s">
        <v>132</v>
      </c>
      <c r="P26" s="2736"/>
      <c r="Q26" s="2736"/>
      <c r="R26" s="2736"/>
      <c r="S26" s="2736"/>
      <c r="T26" s="2736"/>
      <c r="U26" s="2736"/>
      <c r="V26" s="2736"/>
      <c r="W26" s="2736"/>
      <c r="X26" s="2736"/>
      <c r="Y26" s="2736"/>
      <c r="Z26" s="2736"/>
      <c r="AA26" s="2736"/>
      <c r="AB26" s="2736"/>
      <c r="AC26" s="2736"/>
      <c r="AD26" s="2736"/>
      <c r="AE26" s="2736"/>
      <c r="AF26" s="2736"/>
      <c r="AG26" s="2737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742" t="s">
        <v>6</v>
      </c>
      <c r="K27" s="2743"/>
      <c r="L27" s="2743"/>
      <c r="M27" s="819"/>
      <c r="N27" s="818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147</v>
      </c>
      <c r="D28" s="96"/>
      <c r="E28" s="97"/>
      <c r="F28" s="273"/>
      <c r="G28" s="132"/>
      <c r="H28" s="91" t="s">
        <v>11</v>
      </c>
      <c r="I28" s="91" t="s">
        <v>11</v>
      </c>
      <c r="J28" s="2738"/>
      <c r="K28" s="2739"/>
      <c r="L28" s="2739"/>
      <c r="M28" s="819"/>
      <c r="N28" s="225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2"/>
      <c r="AC28" s="231"/>
      <c r="AD28" s="229"/>
      <c r="AE28" s="229"/>
      <c r="AF28" s="229"/>
      <c r="AG28" s="229"/>
    </row>
    <row r="29" spans="1:35" s="39" customFormat="1" ht="24" customHeight="1">
      <c r="A29" s="38"/>
      <c r="B29" s="38"/>
      <c r="C29" s="102"/>
      <c r="D29" s="65" t="s">
        <v>2479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5"/>
      <c r="M29" s="819"/>
      <c r="N29" s="225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9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>
        <f>+変更諸経費表!L21</f>
        <v>76442</v>
      </c>
      <c r="I30" s="101">
        <f t="shared" si="0"/>
        <v>76442</v>
      </c>
      <c r="J30" s="65"/>
      <c r="K30" s="65"/>
      <c r="L30" s="65"/>
      <c r="M30" s="819"/>
      <c r="N30" s="225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9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5"/>
      <c r="M31" s="819"/>
      <c r="N31" s="225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9"/>
    </row>
    <row r="32" spans="1:35" s="39" customFormat="1" ht="24" customHeight="1">
      <c r="A32" s="38"/>
      <c r="B32" s="38"/>
      <c r="C32" s="792"/>
      <c r="D32" s="793" t="s">
        <v>2480</v>
      </c>
      <c r="E32" s="794"/>
      <c r="F32" s="795"/>
      <c r="G32" s="796"/>
      <c r="H32" s="797"/>
      <c r="I32" s="798">
        <f>SUM(I30:I31)</f>
        <v>76442</v>
      </c>
      <c r="J32" s="793"/>
      <c r="K32" s="793"/>
      <c r="L32" s="793"/>
      <c r="M32" s="819"/>
      <c r="N32" s="225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9"/>
    </row>
    <row r="33" spans="1:35" s="39" customFormat="1" ht="24" customHeight="1">
      <c r="A33" s="38"/>
      <c r="B33" s="38"/>
      <c r="C33" s="800"/>
      <c r="D33" s="96"/>
      <c r="E33" s="97"/>
      <c r="F33" s="801"/>
      <c r="G33" s="132"/>
      <c r="H33" s="802"/>
      <c r="I33" s="803" t="str">
        <f t="shared" si="0"/>
        <v/>
      </c>
      <c r="J33" s="96"/>
      <c r="K33" s="96"/>
      <c r="L33" s="96"/>
      <c r="M33" s="819"/>
      <c r="N33" s="225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9"/>
    </row>
    <row r="34" spans="1:35" s="39" customFormat="1" ht="24" customHeight="1">
      <c r="A34" s="38"/>
      <c r="B34" s="38"/>
      <c r="C34" s="102"/>
      <c r="D34" s="65" t="s">
        <v>2481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5"/>
      <c r="M34" s="819"/>
      <c r="N34" s="225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9"/>
    </row>
    <row r="35" spans="1:35" s="39" customFormat="1" ht="24" customHeight="1">
      <c r="A35" s="38"/>
      <c r="B35" s="38"/>
      <c r="C35" s="102"/>
      <c r="D35" s="65" t="s">
        <v>2482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5"/>
      <c r="M35" s="819"/>
      <c r="N35" s="225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9"/>
    </row>
    <row r="36" spans="1:35" s="39" customFormat="1" ht="24" customHeight="1">
      <c r="A36" s="38"/>
      <c r="B36" s="38"/>
      <c r="C36" s="102"/>
      <c r="D36" s="65" t="s">
        <v>2483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5"/>
      <c r="M36" s="819"/>
      <c r="N36" s="225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9"/>
    </row>
    <row r="37" spans="1:35" s="39" customFormat="1" ht="24" customHeight="1">
      <c r="A37" s="38"/>
      <c r="B37" s="38"/>
      <c r="C37" s="102"/>
      <c r="D37" s="65" t="s">
        <v>2484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5"/>
      <c r="M37" s="819"/>
      <c r="N37" s="225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9"/>
    </row>
    <row r="38" spans="1:35" s="39" customFormat="1" ht="24" customHeight="1">
      <c r="A38" s="38"/>
      <c r="B38" s="38"/>
      <c r="C38" s="102"/>
      <c r="D38" s="65" t="s">
        <v>2485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5"/>
      <c r="M38" s="819"/>
      <c r="N38" s="225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9"/>
    </row>
    <row r="39" spans="1:35" s="39" customFormat="1" ht="24" customHeight="1">
      <c r="A39" s="38"/>
      <c r="B39" s="38"/>
      <c r="C39" s="102"/>
      <c r="D39" s="65" t="s">
        <v>2486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5"/>
      <c r="M39" s="819"/>
      <c r="N39" s="225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9"/>
    </row>
    <row r="40" spans="1:35" s="39" customFormat="1" ht="24" customHeight="1">
      <c r="A40" s="38"/>
      <c r="B40" s="38"/>
      <c r="C40" s="102"/>
      <c r="D40" s="65" t="s">
        <v>2487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5"/>
      <c r="M40" s="819"/>
      <c r="N40" s="225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9"/>
    </row>
    <row r="41" spans="1:35" s="39" customFormat="1" ht="24" customHeight="1">
      <c r="A41" s="38"/>
      <c r="B41" s="38"/>
      <c r="C41" s="102"/>
      <c r="D41" s="65" t="s">
        <v>2488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5"/>
      <c r="M41" s="819"/>
      <c r="N41" s="225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9"/>
    </row>
    <row r="42" spans="1:35" s="39" customFormat="1" ht="24" customHeight="1">
      <c r="A42" s="38"/>
      <c r="B42" s="38"/>
      <c r="C42" s="102"/>
      <c r="D42" s="65" t="s">
        <v>2489</v>
      </c>
      <c r="E42" s="99"/>
      <c r="F42" s="274">
        <v>1</v>
      </c>
      <c r="G42" s="115" t="s">
        <v>7</v>
      </c>
      <c r="H42" s="133"/>
      <c r="I42" s="101">
        <f t="shared" si="0"/>
        <v>0</v>
      </c>
      <c r="J42" s="65"/>
      <c r="K42" s="65"/>
      <c r="L42" s="65"/>
      <c r="M42" s="819"/>
      <c r="N42" s="225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9"/>
    </row>
    <row r="43" spans="1:35" s="39" customFormat="1" ht="24" customHeight="1">
      <c r="A43" s="38"/>
      <c r="B43" s="38"/>
      <c r="C43" s="102"/>
      <c r="D43" s="65" t="s">
        <v>2490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5"/>
      <c r="M43" s="819"/>
      <c r="N43" s="225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9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5"/>
      <c r="M44" s="819"/>
      <c r="N44" s="225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9"/>
    </row>
    <row r="45" spans="1:35" s="39" customFormat="1" ht="24" customHeight="1">
      <c r="A45" s="38"/>
      <c r="B45" s="38"/>
      <c r="C45" s="805"/>
      <c r="D45" s="793" t="s">
        <v>2491</v>
      </c>
      <c r="E45" s="794"/>
      <c r="F45" s="795"/>
      <c r="G45" s="796"/>
      <c r="H45" s="797"/>
      <c r="I45" s="798">
        <f>SUM(I35:I44)</f>
        <v>0</v>
      </c>
      <c r="J45" s="793"/>
      <c r="K45" s="793"/>
      <c r="L45" s="793"/>
      <c r="M45" s="819"/>
      <c r="N45" s="225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9"/>
    </row>
    <row r="46" spans="1:35" s="39" customFormat="1" ht="24" customHeight="1">
      <c r="A46" s="38"/>
      <c r="B46" s="38"/>
      <c r="C46" s="800"/>
      <c r="D46" s="96"/>
      <c r="E46" s="97"/>
      <c r="F46" s="801"/>
      <c r="G46" s="132"/>
      <c r="H46" s="802"/>
      <c r="I46" s="803" t="str">
        <f t="shared" si="0"/>
        <v/>
      </c>
      <c r="J46" s="96"/>
      <c r="K46" s="96"/>
      <c r="L46" s="96"/>
      <c r="M46" s="819"/>
      <c r="N46" s="225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9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2492</v>
      </c>
      <c r="I47" s="105">
        <f>I32+I45</f>
        <v>76442</v>
      </c>
      <c r="J47" s="828" t="str">
        <f>IF(C28="部分撤去工事","）うち費用",")")</f>
        <v>)</v>
      </c>
      <c r="K47" s="827">
        <f>IF(工事1!C28="部分撤去工事",(工事1!K24+L47),0)</f>
        <v>0</v>
      </c>
      <c r="L47" s="826">
        <f>IF(工事1!C28="部分撤去工事",SUMIF(工事1!N29:N46,"費用",工事1!I29:I46),0)</f>
        <v>0</v>
      </c>
      <c r="M47" s="820"/>
      <c r="N47" s="222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9"/>
    </row>
    <row r="48" spans="1:35" ht="14.25" customHeight="1">
      <c r="E48" s="120" t="s">
        <v>86</v>
      </c>
      <c r="F48" s="121">
        <f>+F25+1</f>
        <v>9</v>
      </c>
      <c r="G48" s="122" t="s">
        <v>87</v>
      </c>
      <c r="H48" s="123">
        <f>+H25</f>
        <v>11</v>
      </c>
      <c r="I48" s="123"/>
      <c r="M48" s="817" t="str">
        <f>IF(A50="","EOL","")</f>
        <v/>
      </c>
      <c r="N48" s="1">
        <f>+F48</f>
        <v>9</v>
      </c>
      <c r="O48" s="1"/>
      <c r="P48" s="1"/>
    </row>
    <row r="49" spans="1:34" ht="26" customHeight="1" thickBot="1">
      <c r="C49" s="2741" t="s">
        <v>320</v>
      </c>
      <c r="D49" s="2741"/>
      <c r="E49" s="2741"/>
      <c r="F49" s="2741"/>
      <c r="G49" s="2741"/>
      <c r="H49" s="2741"/>
      <c r="I49" s="2741"/>
      <c r="J49" s="2741"/>
      <c r="K49" s="2741"/>
      <c r="L49" s="2741"/>
      <c r="O49" s="2745" t="s">
        <v>132</v>
      </c>
      <c r="P49" s="2745"/>
      <c r="Q49" s="2745"/>
      <c r="R49" s="2745"/>
      <c r="S49" s="2745"/>
      <c r="T49" s="2745"/>
      <c r="U49" s="2745"/>
      <c r="V49" s="2745"/>
      <c r="W49" s="2745"/>
      <c r="X49" s="2745"/>
      <c r="Y49" s="2745"/>
      <c r="Z49" s="2745"/>
      <c r="AA49" s="2745"/>
      <c r="AB49" s="2745"/>
      <c r="AC49" s="2745"/>
      <c r="AD49" s="2745"/>
      <c r="AE49" s="2745"/>
      <c r="AF49" s="2745"/>
      <c r="AG49" s="2745"/>
      <c r="AH49" s="2746"/>
    </row>
    <row r="50" spans="1:34" ht="41.25" customHeight="1">
      <c r="A50" s="5" t="s">
        <v>10</v>
      </c>
      <c r="B50" s="5" t="s">
        <v>44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742" t="s">
        <v>6</v>
      </c>
      <c r="K50" s="2743"/>
      <c r="L50" s="2744"/>
      <c r="M50" s="521"/>
      <c r="N50" s="522" t="s">
        <v>378</v>
      </c>
      <c r="O50" s="154" t="s">
        <v>67</v>
      </c>
      <c r="P50" s="386" t="s">
        <v>303</v>
      </c>
      <c r="Q50" s="276" t="s">
        <v>304</v>
      </c>
      <c r="R50" s="276" t="s">
        <v>212</v>
      </c>
      <c r="S50" s="276" t="s">
        <v>213</v>
      </c>
      <c r="T50" s="276" t="s">
        <v>305</v>
      </c>
      <c r="U50" s="276" t="s">
        <v>126</v>
      </c>
      <c r="V50" s="153" t="s">
        <v>125</v>
      </c>
      <c r="W50" s="276" t="s">
        <v>311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220" t="s">
        <v>312</v>
      </c>
      <c r="AC50" s="458" t="s">
        <v>313</v>
      </c>
      <c r="AD50" s="459" t="s">
        <v>314</v>
      </c>
      <c r="AE50" s="460" t="s">
        <v>128</v>
      </c>
      <c r="AF50" s="152" t="s">
        <v>315</v>
      </c>
      <c r="AG50" s="152" t="s">
        <v>316</v>
      </c>
      <c r="AH50" s="152" t="s">
        <v>130</v>
      </c>
    </row>
    <row r="51" spans="1:34" ht="24" customHeight="1">
      <c r="A51" s="38"/>
      <c r="B51" s="38"/>
      <c r="C51" s="128" t="s">
        <v>2507</v>
      </c>
      <c r="D51" s="129"/>
      <c r="E51" s="130"/>
      <c r="F51" s="273"/>
      <c r="G51" s="98"/>
      <c r="H51" s="90" t="s">
        <v>11</v>
      </c>
      <c r="I51" s="90" t="s">
        <v>11</v>
      </c>
      <c r="J51" s="2738"/>
      <c r="K51" s="2739"/>
      <c r="L51" s="2740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0"/>
      <c r="AC51" s="229"/>
      <c r="AD51" s="461"/>
      <c r="AE51" s="462"/>
      <c r="AF51" s="229"/>
      <c r="AG51" s="229"/>
      <c r="AH51" s="463"/>
    </row>
    <row r="52" spans="1:34" s="39" customFormat="1" ht="24" customHeight="1">
      <c r="A52" s="38"/>
      <c r="B52" s="38"/>
      <c r="C52" s="124"/>
      <c r="D52" s="125"/>
      <c r="E52" s="114"/>
      <c r="F52" s="274"/>
      <c r="G52" s="115"/>
      <c r="H52" s="131"/>
      <c r="I52" s="101" t="str">
        <f t="shared" ref="I52:I69" si="1">IF(F52="","",INT(F52*H52))</f>
        <v/>
      </c>
      <c r="J52" s="64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213"/>
    </row>
    <row r="53" spans="1:34" s="39" customFormat="1" ht="24" customHeight="1">
      <c r="A53" s="38"/>
      <c r="B53" s="38"/>
      <c r="C53" s="124"/>
      <c r="D53" s="125"/>
      <c r="E53" s="114"/>
      <c r="F53" s="274"/>
      <c r="G53" s="115"/>
      <c r="H53" s="131"/>
      <c r="I53" s="101" t="str">
        <f t="shared" si="1"/>
        <v/>
      </c>
      <c r="J53" s="64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1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1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1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74"/>
      <c r="G57" s="115"/>
      <c r="H57" s="131"/>
      <c r="I57" s="101" t="str">
        <f t="shared" si="1"/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1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/>
      <c r="B59" s="38"/>
      <c r="C59" s="124"/>
      <c r="D59" s="125"/>
      <c r="E59" s="114"/>
      <c r="F59" s="274"/>
      <c r="G59" s="115"/>
      <c r="H59" s="131"/>
      <c r="I59" s="101" t="str">
        <f t="shared" si="1"/>
        <v/>
      </c>
      <c r="J59" s="64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/>
      <c r="B60" s="38"/>
      <c r="C60" s="124"/>
      <c r="D60" s="125"/>
      <c r="E60" s="114"/>
      <c r="F60" s="274"/>
      <c r="G60" s="115"/>
      <c r="H60" s="131"/>
      <c r="I60" s="101" t="str">
        <f t="shared" si="1"/>
        <v/>
      </c>
      <c r="J60" s="64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1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1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1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1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1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1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1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1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1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88</v>
      </c>
      <c r="I70" s="105">
        <f>SUM(I52:I69)</f>
        <v>0</v>
      </c>
      <c r="J70" s="828" t="str">
        <f>IF(C51="部分撤去工事","）うち費用",")")</f>
        <v>)</v>
      </c>
      <c r="K70" s="827">
        <f>IF(C51="部分撤去工事",(工事2!K47+L70),0)</f>
        <v>0</v>
      </c>
      <c r="L70" s="826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463"/>
    </row>
    <row r="71" spans="1:34" ht="14.25" customHeight="1">
      <c r="E71" s="120" t="s">
        <v>86</v>
      </c>
      <c r="F71" s="121">
        <f>+F48+1</f>
        <v>10</v>
      </c>
      <c r="G71" s="122" t="s">
        <v>49</v>
      </c>
      <c r="H71" s="123">
        <f>+H48</f>
        <v>11</v>
      </c>
      <c r="I71" s="123"/>
      <c r="M71" s="33" t="str">
        <f>IF(A73="","EOL","")</f>
        <v/>
      </c>
      <c r="N71" s="1">
        <f>+F71</f>
        <v>10</v>
      </c>
      <c r="Q71" s="39"/>
      <c r="R71" s="39"/>
      <c r="S71" s="39"/>
      <c r="T71" s="39"/>
      <c r="U71" s="39"/>
      <c r="V71" s="39"/>
      <c r="W71" s="39"/>
      <c r="X71" s="39"/>
      <c r="Y71" s="39"/>
      <c r="Z71" s="39"/>
    </row>
    <row r="72" spans="1:34" ht="26" customHeight="1" thickBot="1">
      <c r="C72" s="2741" t="s">
        <v>320</v>
      </c>
      <c r="D72" s="2741"/>
      <c r="E72" s="2741"/>
      <c r="F72" s="2741"/>
      <c r="G72" s="2741"/>
      <c r="H72" s="2741"/>
      <c r="I72" s="2741"/>
      <c r="J72" s="2741"/>
      <c r="K72" s="2741"/>
      <c r="L72" s="2741"/>
      <c r="O72" s="2745" t="s">
        <v>132</v>
      </c>
      <c r="P72" s="2745"/>
      <c r="Q72" s="2745"/>
      <c r="R72" s="2745"/>
      <c r="S72" s="2745"/>
      <c r="T72" s="2745"/>
      <c r="U72" s="2745"/>
      <c r="V72" s="2745"/>
      <c r="W72" s="2745"/>
      <c r="X72" s="2745"/>
      <c r="Y72" s="2745"/>
      <c r="Z72" s="2745"/>
      <c r="AA72" s="2745"/>
      <c r="AB72" s="2745"/>
      <c r="AC72" s="2745"/>
      <c r="AD72" s="2745"/>
      <c r="AE72" s="2745"/>
      <c r="AF72" s="2745"/>
      <c r="AG72" s="2745"/>
      <c r="AH72" s="2746"/>
    </row>
    <row r="73" spans="1:34" ht="41.25" customHeight="1">
      <c r="A73" s="5" t="s">
        <v>10</v>
      </c>
      <c r="B73" s="5" t="s">
        <v>44</v>
      </c>
      <c r="C73" s="110" t="s">
        <v>0</v>
      </c>
      <c r="D73" s="106"/>
      <c r="E73" s="107" t="s">
        <v>1</v>
      </c>
      <c r="F73" s="108" t="s">
        <v>2</v>
      </c>
      <c r="G73" s="108" t="s">
        <v>3</v>
      </c>
      <c r="H73" s="109" t="s">
        <v>4</v>
      </c>
      <c r="I73" s="109" t="s">
        <v>5</v>
      </c>
      <c r="J73" s="2742" t="s">
        <v>6</v>
      </c>
      <c r="K73" s="2743"/>
      <c r="L73" s="2744"/>
      <c r="M73" s="521"/>
      <c r="N73" s="522" t="s">
        <v>378</v>
      </c>
      <c r="O73" s="154" t="s">
        <v>67</v>
      </c>
      <c r="P73" s="386" t="s">
        <v>303</v>
      </c>
      <c r="Q73" s="276" t="s">
        <v>304</v>
      </c>
      <c r="R73" s="276" t="s">
        <v>212</v>
      </c>
      <c r="S73" s="276" t="s">
        <v>213</v>
      </c>
      <c r="T73" s="276" t="s">
        <v>305</v>
      </c>
      <c r="U73" s="276" t="s">
        <v>126</v>
      </c>
      <c r="V73" s="153" t="s">
        <v>125</v>
      </c>
      <c r="W73" s="276" t="s">
        <v>266</v>
      </c>
      <c r="X73" s="220" t="s">
        <v>214</v>
      </c>
      <c r="Y73" s="220" t="s">
        <v>215</v>
      </c>
      <c r="Z73" s="220" t="s">
        <v>216</v>
      </c>
      <c r="AA73" s="220" t="s">
        <v>217</v>
      </c>
      <c r="AB73" s="220" t="s">
        <v>312</v>
      </c>
      <c r="AC73" s="458" t="s">
        <v>313</v>
      </c>
      <c r="AD73" s="459" t="s">
        <v>314</v>
      </c>
      <c r="AE73" s="460" t="s">
        <v>128</v>
      </c>
      <c r="AF73" s="152" t="s">
        <v>315</v>
      </c>
      <c r="AG73" s="152" t="s">
        <v>129</v>
      </c>
      <c r="AH73" s="152" t="s">
        <v>130</v>
      </c>
    </row>
    <row r="74" spans="1:34" ht="24" customHeight="1">
      <c r="A74" s="38"/>
      <c r="B74" s="38"/>
      <c r="C74" s="128" t="s">
        <v>3026</v>
      </c>
      <c r="D74" s="129"/>
      <c r="E74" s="130"/>
      <c r="F74" s="273"/>
      <c r="G74" s="98"/>
      <c r="H74" s="90" t="s">
        <v>11</v>
      </c>
      <c r="I74" s="90" t="s">
        <v>11</v>
      </c>
      <c r="J74" s="2738"/>
      <c r="K74" s="2739"/>
      <c r="L74" s="2740"/>
      <c r="M74" s="523"/>
      <c r="N74" s="524"/>
      <c r="O74" s="227"/>
      <c r="P74" s="228"/>
      <c r="Q74" s="229"/>
      <c r="R74" s="229"/>
      <c r="S74" s="229"/>
      <c r="T74" s="229"/>
      <c r="U74" s="229"/>
      <c r="V74" s="229"/>
      <c r="W74" s="229"/>
      <c r="X74" s="230"/>
      <c r="Y74" s="230"/>
      <c r="Z74" s="230"/>
      <c r="AA74" s="230"/>
      <c r="AB74" s="230"/>
      <c r="AC74" s="229"/>
      <c r="AD74" s="461"/>
      <c r="AE74" s="462"/>
      <c r="AF74" s="229"/>
      <c r="AG74" s="229"/>
      <c r="AH74" s="463"/>
    </row>
    <row r="75" spans="1:34" s="39" customFormat="1" ht="24" customHeight="1">
      <c r="A75" s="38"/>
      <c r="B75" s="38"/>
      <c r="C75" s="124"/>
      <c r="D75" s="125"/>
      <c r="E75" s="114"/>
      <c r="F75" s="274"/>
      <c r="G75" s="115"/>
      <c r="H75" s="131"/>
      <c r="I75" s="101" t="str">
        <f t="shared" ref="I75:I92" si="2">IF(F75="","",INT(F75*H75))</f>
        <v/>
      </c>
      <c r="J75" s="64"/>
      <c r="K75" s="65"/>
      <c r="L75" s="66"/>
      <c r="M75" s="525"/>
      <c r="N75" s="520"/>
      <c r="O75" s="227"/>
      <c r="P75" s="228"/>
      <c r="Q75" s="229"/>
      <c r="R75" s="229"/>
      <c r="S75" s="229"/>
      <c r="T75" s="229"/>
      <c r="U75" s="229"/>
      <c r="V75" s="229"/>
      <c r="W75" s="229"/>
      <c r="X75" s="230"/>
      <c r="Y75" s="230"/>
      <c r="Z75" s="230"/>
      <c r="AA75" s="230"/>
      <c r="AB75" s="230"/>
      <c r="AC75" s="229"/>
      <c r="AD75" s="461"/>
      <c r="AE75" s="462"/>
      <c r="AF75" s="229"/>
      <c r="AG75" s="229"/>
      <c r="AH75" s="213"/>
    </row>
    <row r="76" spans="1:34" s="39" customFormat="1" ht="24" customHeight="1">
      <c r="A76" s="38">
        <v>4</v>
      </c>
      <c r="B76" s="38">
        <v>4</v>
      </c>
      <c r="C76" s="124">
        <v>601</v>
      </c>
      <c r="D76" s="788" t="s">
        <v>3017</v>
      </c>
      <c r="E76" s="114" t="s">
        <v>3018</v>
      </c>
      <c r="F76" s="274">
        <v>4</v>
      </c>
      <c r="G76" s="115" t="s">
        <v>3028</v>
      </c>
      <c r="H76" s="131">
        <f>見積類似!Q$35</f>
        <v>170900</v>
      </c>
      <c r="I76" s="101">
        <f>IF(F76="","",INT(F76*H76))</f>
        <v>683600</v>
      </c>
      <c r="J76" s="64" t="s">
        <v>3040</v>
      </c>
      <c r="K76" s="65"/>
      <c r="L76" s="66"/>
      <c r="M76" s="525"/>
      <c r="N76" s="520"/>
      <c r="O76" s="227">
        <v>0</v>
      </c>
      <c r="P76" s="228"/>
      <c r="Q76" s="229"/>
      <c r="R76" s="229"/>
      <c r="S76" s="229"/>
      <c r="T76" s="229"/>
      <c r="U76" s="229"/>
      <c r="V76" s="229"/>
      <c r="W76" s="229"/>
      <c r="X76" s="230"/>
      <c r="Y76" s="230"/>
      <c r="Z76" s="230"/>
      <c r="AA76" s="230"/>
      <c r="AB76" s="230"/>
      <c r="AC76" s="229"/>
      <c r="AD76" s="461"/>
      <c r="AE76" s="462"/>
      <c r="AF76" s="229"/>
      <c r="AG76" s="229"/>
      <c r="AH76" s="213"/>
    </row>
    <row r="77" spans="1:34" s="39" customFormat="1" ht="24" customHeight="1">
      <c r="A77" s="38"/>
      <c r="B77" s="38"/>
      <c r="C77" s="124"/>
      <c r="D77" s="125" t="str">
        <f>+見積類似!L36</f>
        <v>鼻先ｽﾃﾝﾚｽプレート</v>
      </c>
      <c r="E77" s="114" t="str">
        <f>+見積類似!M36</f>
        <v>4-M10　タップネジ切</v>
      </c>
      <c r="F77" s="274"/>
      <c r="G77" s="115"/>
      <c r="H77" s="131"/>
      <c r="I77" s="101" t="str">
        <f t="shared" si="2"/>
        <v/>
      </c>
      <c r="J77" s="64"/>
      <c r="K77" s="65"/>
      <c r="L77" s="66"/>
      <c r="M77" s="525"/>
      <c r="N77" s="520"/>
      <c r="O77" s="227"/>
      <c r="P77" s="228"/>
      <c r="Q77" s="229"/>
      <c r="R77" s="229"/>
      <c r="S77" s="229"/>
      <c r="T77" s="229"/>
      <c r="U77" s="229"/>
      <c r="V77" s="229"/>
      <c r="W77" s="229"/>
      <c r="X77" s="230"/>
      <c r="Y77" s="230"/>
      <c r="Z77" s="230"/>
      <c r="AA77" s="230"/>
      <c r="AB77" s="230"/>
      <c r="AC77" s="229"/>
      <c r="AD77" s="461"/>
      <c r="AE77" s="462"/>
      <c r="AF77" s="229"/>
      <c r="AG77" s="229"/>
      <c r="AH77" s="213"/>
    </row>
    <row r="78" spans="1:34" s="39" customFormat="1" ht="24" customHeight="1">
      <c r="A78" s="38"/>
      <c r="B78" s="38"/>
      <c r="C78" s="124"/>
      <c r="D78" s="125"/>
      <c r="E78" s="114" t="str">
        <f>+見積類似!M37</f>
        <v>SUS-50×50×4　L=40　4カ所</v>
      </c>
      <c r="F78" s="274"/>
      <c r="G78" s="115"/>
      <c r="H78" s="131"/>
      <c r="I78" s="101" t="str">
        <f t="shared" si="2"/>
        <v/>
      </c>
      <c r="J78" s="64"/>
      <c r="K78" s="65"/>
      <c r="L78" s="66"/>
      <c r="M78" s="525"/>
      <c r="N78" s="520"/>
      <c r="O78" s="227"/>
      <c r="P78" s="228"/>
      <c r="Q78" s="229"/>
      <c r="R78" s="229"/>
      <c r="S78" s="229"/>
      <c r="T78" s="229"/>
      <c r="U78" s="229"/>
      <c r="V78" s="229"/>
      <c r="W78" s="229"/>
      <c r="X78" s="230"/>
      <c r="Y78" s="230"/>
      <c r="Z78" s="230"/>
      <c r="AA78" s="230"/>
      <c r="AB78" s="230"/>
      <c r="AC78" s="229"/>
      <c r="AD78" s="461"/>
      <c r="AE78" s="462"/>
      <c r="AF78" s="229"/>
      <c r="AG78" s="229"/>
      <c r="AH78" s="213"/>
    </row>
    <row r="79" spans="1:34" s="39" customFormat="1" ht="24" customHeight="1">
      <c r="A79" s="38"/>
      <c r="B79" s="38"/>
      <c r="C79" s="124"/>
      <c r="D79" s="125"/>
      <c r="E79" s="114" t="str">
        <f>+見積類似!M38</f>
        <v>固定ボルトφ12</v>
      </c>
      <c r="F79" s="274"/>
      <c r="G79" s="115"/>
      <c r="H79" s="131"/>
      <c r="I79" s="101" t="str">
        <f t="shared" si="2"/>
        <v/>
      </c>
      <c r="J79" s="64"/>
      <c r="K79" s="65"/>
      <c r="L79" s="66"/>
      <c r="M79" s="525"/>
      <c r="N79" s="520"/>
      <c r="O79" s="227"/>
      <c r="P79" s="228"/>
      <c r="Q79" s="229"/>
      <c r="R79" s="229"/>
      <c r="S79" s="229"/>
      <c r="T79" s="229"/>
      <c r="U79" s="229"/>
      <c r="V79" s="229"/>
      <c r="W79" s="229"/>
      <c r="X79" s="230"/>
      <c r="Y79" s="230"/>
      <c r="Z79" s="230"/>
      <c r="AA79" s="230"/>
      <c r="AB79" s="230"/>
      <c r="AC79" s="229"/>
      <c r="AD79" s="461"/>
      <c r="AE79" s="462"/>
      <c r="AF79" s="229"/>
      <c r="AG79" s="229"/>
      <c r="AH79" s="213"/>
    </row>
    <row r="80" spans="1:34" s="39" customFormat="1" ht="24" customHeight="1">
      <c r="A80" s="38"/>
      <c r="B80" s="38"/>
      <c r="C80" s="124"/>
      <c r="D80" s="125"/>
      <c r="E80" s="114" t="str">
        <f>+見積類似!M39</f>
        <v>SUS-30×30×3　L=475　4カ所</v>
      </c>
      <c r="F80" s="274"/>
      <c r="G80" s="115"/>
      <c r="H80" s="131"/>
      <c r="I80" s="101" t="str">
        <f t="shared" si="2"/>
        <v/>
      </c>
      <c r="J80" s="64"/>
      <c r="K80" s="65"/>
      <c r="L80" s="66"/>
      <c r="M80" s="525"/>
      <c r="N80" s="520"/>
      <c r="O80" s="227"/>
      <c r="P80" s="228"/>
      <c r="Q80" s="229"/>
      <c r="R80" s="229"/>
      <c r="S80" s="229"/>
      <c r="T80" s="229"/>
      <c r="U80" s="229"/>
      <c r="V80" s="229"/>
      <c r="W80" s="229"/>
      <c r="X80" s="230"/>
      <c r="Y80" s="230"/>
      <c r="Z80" s="230"/>
      <c r="AA80" s="230"/>
      <c r="AB80" s="230"/>
      <c r="AC80" s="229"/>
      <c r="AD80" s="461"/>
      <c r="AE80" s="462"/>
      <c r="AF80" s="229"/>
      <c r="AG80" s="229"/>
      <c r="AH80" s="213"/>
    </row>
    <row r="81" spans="1:34" s="39" customFormat="1" ht="24" customHeight="1">
      <c r="A81" s="38"/>
      <c r="B81" s="38"/>
      <c r="C81" s="124"/>
      <c r="D81" s="125"/>
      <c r="E81" s="114" t="str">
        <f>+見積類似!M40</f>
        <v>固定アンカー2-φ12</v>
      </c>
      <c r="F81" s="274"/>
      <c r="G81" s="115"/>
      <c r="H81" s="131"/>
      <c r="I81" s="101" t="str">
        <f t="shared" si="2"/>
        <v/>
      </c>
      <c r="J81" s="64"/>
      <c r="K81" s="65"/>
      <c r="L81" s="66"/>
      <c r="M81" s="525"/>
      <c r="N81" s="520"/>
      <c r="O81" s="227"/>
      <c r="P81" s="228"/>
      <c r="Q81" s="229"/>
      <c r="R81" s="229"/>
      <c r="S81" s="229"/>
      <c r="T81" s="229"/>
      <c r="U81" s="229"/>
      <c r="V81" s="229"/>
      <c r="W81" s="229"/>
      <c r="X81" s="230"/>
      <c r="Y81" s="230"/>
      <c r="Z81" s="230"/>
      <c r="AA81" s="230"/>
      <c r="AB81" s="230"/>
      <c r="AC81" s="229"/>
      <c r="AD81" s="461"/>
      <c r="AE81" s="462"/>
      <c r="AF81" s="229"/>
      <c r="AG81" s="229"/>
      <c r="AH81" s="213"/>
    </row>
    <row r="82" spans="1:34" s="39" customFormat="1" ht="24" customHeight="1">
      <c r="A82" s="38"/>
      <c r="B82" s="38"/>
      <c r="C82" s="124"/>
      <c r="D82" s="125"/>
      <c r="E82" s="114" t="str">
        <f>+見積類似!M41</f>
        <v>SUSM10　六角ボルト</v>
      </c>
      <c r="F82" s="274"/>
      <c r="G82" s="115"/>
      <c r="H82" s="131"/>
      <c r="I82" s="101" t="str">
        <f t="shared" si="2"/>
        <v/>
      </c>
      <c r="J82" s="64"/>
      <c r="K82" s="65"/>
      <c r="L82" s="66"/>
      <c r="M82" s="525"/>
      <c r="N82" s="520"/>
      <c r="O82" s="227"/>
      <c r="P82" s="228"/>
      <c r="Q82" s="229"/>
      <c r="R82" s="229"/>
      <c r="S82" s="229"/>
      <c r="T82" s="229"/>
      <c r="U82" s="229"/>
      <c r="V82" s="229"/>
      <c r="W82" s="229"/>
      <c r="X82" s="230"/>
      <c r="Y82" s="230"/>
      <c r="Z82" s="230"/>
      <c r="AA82" s="230"/>
      <c r="AB82" s="230"/>
      <c r="AC82" s="229"/>
      <c r="AD82" s="461"/>
      <c r="AE82" s="462"/>
      <c r="AF82" s="229"/>
      <c r="AG82" s="229"/>
      <c r="AH82" s="213"/>
    </row>
    <row r="83" spans="1:34" s="39" customFormat="1" ht="24" customHeight="1">
      <c r="A83" s="38"/>
      <c r="B83" s="38"/>
      <c r="C83" s="124"/>
      <c r="D83" s="125"/>
      <c r="E83" s="114" t="str">
        <f>+見積類似!M42</f>
        <v>あと施工ｱﾝｶｰ　2-M10</v>
      </c>
      <c r="F83" s="274"/>
      <c r="G83" s="115"/>
      <c r="H83" s="131"/>
      <c r="I83" s="101" t="str">
        <f t="shared" si="2"/>
        <v/>
      </c>
      <c r="J83" s="64"/>
      <c r="K83" s="65"/>
      <c r="L83" s="66"/>
      <c r="M83" s="525"/>
      <c r="N83" s="520"/>
      <c r="O83" s="227"/>
      <c r="P83" s="228"/>
      <c r="Q83" s="229"/>
      <c r="R83" s="229"/>
      <c r="S83" s="229"/>
      <c r="T83" s="229"/>
      <c r="U83" s="229"/>
      <c r="V83" s="229"/>
      <c r="W83" s="229"/>
      <c r="X83" s="230"/>
      <c r="Y83" s="230"/>
      <c r="Z83" s="230"/>
      <c r="AA83" s="230"/>
      <c r="AB83" s="230"/>
      <c r="AC83" s="229"/>
      <c r="AD83" s="461"/>
      <c r="AE83" s="462"/>
      <c r="AF83" s="229"/>
      <c r="AG83" s="229"/>
      <c r="AH83" s="213"/>
    </row>
    <row r="84" spans="1:34" s="39" customFormat="1" ht="24" customHeight="1">
      <c r="A84" s="38">
        <v>4</v>
      </c>
      <c r="B84" s="38">
        <v>4</v>
      </c>
      <c r="C84" s="124">
        <v>602</v>
      </c>
      <c r="D84" s="788" t="s">
        <v>3030</v>
      </c>
      <c r="E84" s="114" t="s">
        <v>3041</v>
      </c>
      <c r="F84" s="274">
        <v>14</v>
      </c>
      <c r="G84" s="115" t="s">
        <v>3019</v>
      </c>
      <c r="H84" s="131">
        <f>見積類似!Q$44</f>
        <v>159100</v>
      </c>
      <c r="I84" s="101">
        <f>IF(F84="","",INT(F84*H84))</f>
        <v>2227400</v>
      </c>
      <c r="J84" s="64" t="s">
        <v>3042</v>
      </c>
      <c r="K84" s="65"/>
      <c r="L84" s="66"/>
      <c r="M84" s="525"/>
      <c r="N84" s="520"/>
      <c r="O84" s="227">
        <v>0</v>
      </c>
      <c r="P84" s="228"/>
      <c r="Q84" s="229"/>
      <c r="R84" s="229"/>
      <c r="S84" s="229"/>
      <c r="T84" s="229"/>
      <c r="U84" s="229"/>
      <c r="V84" s="229"/>
      <c r="W84" s="229"/>
      <c r="X84" s="230"/>
      <c r="Y84" s="230"/>
      <c r="Z84" s="230"/>
      <c r="AA84" s="230"/>
      <c r="AB84" s="230"/>
      <c r="AC84" s="229"/>
      <c r="AD84" s="461"/>
      <c r="AE84" s="462"/>
      <c r="AF84" s="229"/>
      <c r="AG84" s="229"/>
      <c r="AH84" s="213"/>
    </row>
    <row r="85" spans="1:34" s="39" customFormat="1" ht="24" customHeight="1">
      <c r="A85" s="38"/>
      <c r="B85" s="38"/>
      <c r="C85" s="124"/>
      <c r="D85" s="125" t="str">
        <f>+見積類似!L45</f>
        <v>鼻先ｽﾃﾝﾚｽプレート</v>
      </c>
      <c r="E85" s="114" t="str">
        <f>+見積類似!M45</f>
        <v>3-M10　タップネジ切</v>
      </c>
      <c r="F85" s="274"/>
      <c r="G85" s="115"/>
      <c r="H85" s="131"/>
      <c r="I85" s="101" t="str">
        <f t="shared" si="2"/>
        <v/>
      </c>
      <c r="J85" s="64"/>
      <c r="K85" s="65"/>
      <c r="L85" s="66"/>
      <c r="M85" s="525"/>
      <c r="N85" s="520"/>
      <c r="O85" s="227"/>
      <c r="P85" s="228"/>
      <c r="Q85" s="229"/>
      <c r="R85" s="229"/>
      <c r="S85" s="229"/>
      <c r="T85" s="229"/>
      <c r="U85" s="229"/>
      <c r="V85" s="229"/>
      <c r="W85" s="229"/>
      <c r="X85" s="230"/>
      <c r="Y85" s="230"/>
      <c r="Z85" s="230"/>
      <c r="AA85" s="230"/>
      <c r="AB85" s="230"/>
      <c r="AC85" s="229"/>
      <c r="AD85" s="461"/>
      <c r="AE85" s="462"/>
      <c r="AF85" s="229"/>
      <c r="AG85" s="229"/>
      <c r="AH85" s="213"/>
    </row>
    <row r="86" spans="1:34" s="39" customFormat="1" ht="24" customHeight="1">
      <c r="A86" s="38"/>
      <c r="B86" s="38"/>
      <c r="C86" s="124"/>
      <c r="D86" s="125"/>
      <c r="E86" s="114" t="str">
        <f>+見積類似!M46</f>
        <v>SUS-50×50×4　L=40　4カ所</v>
      </c>
      <c r="F86" s="274"/>
      <c r="G86" s="115"/>
      <c r="H86" s="131"/>
      <c r="I86" s="101" t="str">
        <f t="shared" si="2"/>
        <v/>
      </c>
      <c r="J86" s="64"/>
      <c r="K86" s="65"/>
      <c r="L86" s="66"/>
      <c r="M86" s="525"/>
      <c r="N86" s="520"/>
      <c r="O86" s="227"/>
      <c r="P86" s="228"/>
      <c r="Q86" s="229"/>
      <c r="R86" s="229"/>
      <c r="S86" s="229"/>
      <c r="T86" s="229"/>
      <c r="U86" s="229"/>
      <c r="V86" s="229"/>
      <c r="W86" s="229"/>
      <c r="X86" s="230"/>
      <c r="Y86" s="230"/>
      <c r="Z86" s="230"/>
      <c r="AA86" s="230"/>
      <c r="AB86" s="230"/>
      <c r="AC86" s="229"/>
      <c r="AD86" s="461"/>
      <c r="AE86" s="462"/>
      <c r="AF86" s="229"/>
      <c r="AG86" s="229"/>
      <c r="AH86" s="213"/>
    </row>
    <row r="87" spans="1:34" s="39" customFormat="1" ht="24" customHeight="1">
      <c r="A87" s="38"/>
      <c r="B87" s="38"/>
      <c r="C87" s="124"/>
      <c r="D87" s="125"/>
      <c r="E87" s="114" t="str">
        <f>+見積類似!M47</f>
        <v>固定ボルトφ12</v>
      </c>
      <c r="F87" s="274"/>
      <c r="G87" s="115"/>
      <c r="H87" s="131"/>
      <c r="I87" s="101" t="str">
        <f t="shared" si="2"/>
        <v/>
      </c>
      <c r="J87" s="64"/>
      <c r="K87" s="65"/>
      <c r="L87" s="66"/>
      <c r="M87" s="525"/>
      <c r="N87" s="520"/>
      <c r="O87" s="227"/>
      <c r="P87" s="228"/>
      <c r="Q87" s="229"/>
      <c r="R87" s="229"/>
      <c r="S87" s="229"/>
      <c r="T87" s="229"/>
      <c r="U87" s="229"/>
      <c r="V87" s="229"/>
      <c r="W87" s="229"/>
      <c r="X87" s="230"/>
      <c r="Y87" s="230"/>
      <c r="Z87" s="230"/>
      <c r="AA87" s="230"/>
      <c r="AB87" s="230"/>
      <c r="AC87" s="229"/>
      <c r="AD87" s="461"/>
      <c r="AE87" s="462"/>
      <c r="AF87" s="229"/>
      <c r="AG87" s="229"/>
      <c r="AH87" s="213"/>
    </row>
    <row r="88" spans="1:34" s="39" customFormat="1" ht="24" customHeight="1">
      <c r="A88" s="38"/>
      <c r="B88" s="38"/>
      <c r="C88" s="124"/>
      <c r="D88" s="125"/>
      <c r="E88" s="114" t="str">
        <f>+見積類似!M48</f>
        <v>SUS-30×30×3　L=475　4カ所</v>
      </c>
      <c r="F88" s="274"/>
      <c r="G88" s="115"/>
      <c r="H88" s="131"/>
      <c r="I88" s="101" t="str">
        <f t="shared" si="2"/>
        <v/>
      </c>
      <c r="J88" s="64"/>
      <c r="K88" s="65"/>
      <c r="L88" s="66"/>
      <c r="M88" s="525"/>
      <c r="N88" s="520"/>
      <c r="O88" s="227"/>
      <c r="P88" s="228"/>
      <c r="Q88" s="229"/>
      <c r="R88" s="229"/>
      <c r="S88" s="229"/>
      <c r="T88" s="229"/>
      <c r="U88" s="229"/>
      <c r="V88" s="229"/>
      <c r="W88" s="229"/>
      <c r="X88" s="230"/>
      <c r="Y88" s="230"/>
      <c r="Z88" s="230"/>
      <c r="AA88" s="230"/>
      <c r="AB88" s="230"/>
      <c r="AC88" s="229"/>
      <c r="AD88" s="461"/>
      <c r="AE88" s="462"/>
      <c r="AF88" s="229"/>
      <c r="AG88" s="229"/>
      <c r="AH88" s="213"/>
    </row>
    <row r="89" spans="1:34" s="39" customFormat="1" ht="24" customHeight="1">
      <c r="A89" s="38"/>
      <c r="B89" s="38"/>
      <c r="C89" s="124"/>
      <c r="D89" s="125"/>
      <c r="E89" s="114" t="str">
        <f>+見積類似!M49</f>
        <v>固定アンカー2-φ12</v>
      </c>
      <c r="F89" s="274"/>
      <c r="G89" s="115"/>
      <c r="H89" s="131"/>
      <c r="I89" s="101" t="str">
        <f t="shared" si="2"/>
        <v/>
      </c>
      <c r="J89" s="64"/>
      <c r="K89" s="65"/>
      <c r="L89" s="66"/>
      <c r="M89" s="525"/>
      <c r="N89" s="520"/>
      <c r="O89" s="227"/>
      <c r="P89" s="228"/>
      <c r="Q89" s="229"/>
      <c r="R89" s="229"/>
      <c r="S89" s="229"/>
      <c r="T89" s="229"/>
      <c r="U89" s="229"/>
      <c r="V89" s="229"/>
      <c r="W89" s="229"/>
      <c r="X89" s="230"/>
      <c r="Y89" s="230"/>
      <c r="Z89" s="230"/>
      <c r="AA89" s="230"/>
      <c r="AB89" s="230"/>
      <c r="AC89" s="229"/>
      <c r="AD89" s="461"/>
      <c r="AE89" s="462"/>
      <c r="AF89" s="229"/>
      <c r="AG89" s="229"/>
      <c r="AH89" s="213"/>
    </row>
    <row r="90" spans="1:34" s="39" customFormat="1" ht="24" customHeight="1">
      <c r="A90" s="38"/>
      <c r="B90" s="38"/>
      <c r="C90" s="124"/>
      <c r="D90" s="125"/>
      <c r="E90" s="114" t="str">
        <f>+見積類似!M50</f>
        <v>SUSM10　六角ボルト</v>
      </c>
      <c r="F90" s="274"/>
      <c r="G90" s="115"/>
      <c r="H90" s="131"/>
      <c r="I90" s="101" t="str">
        <f t="shared" si="2"/>
        <v/>
      </c>
      <c r="J90" s="64"/>
      <c r="K90" s="65"/>
      <c r="L90" s="66"/>
      <c r="M90" s="525"/>
      <c r="N90" s="520"/>
      <c r="O90" s="227"/>
      <c r="P90" s="228"/>
      <c r="Q90" s="229"/>
      <c r="R90" s="229"/>
      <c r="S90" s="229"/>
      <c r="T90" s="229"/>
      <c r="U90" s="229"/>
      <c r="V90" s="229"/>
      <c r="W90" s="229"/>
      <c r="X90" s="230"/>
      <c r="Y90" s="230"/>
      <c r="Z90" s="230"/>
      <c r="AA90" s="230"/>
      <c r="AB90" s="230"/>
      <c r="AC90" s="229"/>
      <c r="AD90" s="461"/>
      <c r="AE90" s="462"/>
      <c r="AF90" s="229"/>
      <c r="AG90" s="229"/>
      <c r="AH90" s="213"/>
    </row>
    <row r="91" spans="1:34" s="39" customFormat="1" ht="24" customHeight="1">
      <c r="A91" s="38"/>
      <c r="B91" s="38"/>
      <c r="C91" s="124"/>
      <c r="D91" s="125"/>
      <c r="E91" s="114" t="str">
        <f>+見積類似!M51</f>
        <v>あと施工ｱﾝｶｰ　2-M10</v>
      </c>
      <c r="F91" s="274"/>
      <c r="G91" s="115"/>
      <c r="H91" s="131"/>
      <c r="I91" s="101" t="str">
        <f t="shared" si="2"/>
        <v/>
      </c>
      <c r="J91" s="64"/>
      <c r="K91" s="65"/>
      <c r="L91" s="66"/>
      <c r="M91" s="525"/>
      <c r="N91" s="520"/>
      <c r="O91" s="227"/>
      <c r="P91" s="228"/>
      <c r="Q91" s="229"/>
      <c r="R91" s="229"/>
      <c r="S91" s="229"/>
      <c r="T91" s="229"/>
      <c r="U91" s="229"/>
      <c r="V91" s="229"/>
      <c r="W91" s="229"/>
      <c r="X91" s="230"/>
      <c r="Y91" s="230"/>
      <c r="Z91" s="230"/>
      <c r="AA91" s="230"/>
      <c r="AB91" s="230"/>
      <c r="AC91" s="229"/>
      <c r="AD91" s="461"/>
      <c r="AE91" s="462"/>
      <c r="AF91" s="229"/>
      <c r="AG91" s="229"/>
      <c r="AH91" s="213"/>
    </row>
    <row r="92" spans="1:34" s="39" customFormat="1" ht="24" customHeight="1">
      <c r="A92" s="38"/>
      <c r="B92" s="38"/>
      <c r="C92" s="124"/>
      <c r="D92" s="125"/>
      <c r="E92" s="114"/>
      <c r="F92" s="274"/>
      <c r="G92" s="115"/>
      <c r="H92" s="131"/>
      <c r="I92" s="101" t="str">
        <f t="shared" si="2"/>
        <v/>
      </c>
      <c r="J92" s="64"/>
      <c r="K92" s="65"/>
      <c r="L92" s="66"/>
      <c r="M92" s="525"/>
      <c r="N92" s="520"/>
      <c r="O92" s="227"/>
      <c r="P92" s="228"/>
      <c r="Q92" s="229"/>
      <c r="R92" s="229"/>
      <c r="S92" s="229"/>
      <c r="T92" s="229"/>
      <c r="U92" s="229"/>
      <c r="V92" s="229"/>
      <c r="W92" s="229"/>
      <c r="X92" s="230"/>
      <c r="Y92" s="230"/>
      <c r="Z92" s="230"/>
      <c r="AA92" s="230"/>
      <c r="AB92" s="230"/>
      <c r="AC92" s="229"/>
      <c r="AD92" s="461"/>
      <c r="AE92" s="462"/>
      <c r="AF92" s="229"/>
      <c r="AG92" s="229"/>
      <c r="AH92" s="213"/>
    </row>
    <row r="93" spans="1:34" ht="24" customHeight="1" thickBot="1">
      <c r="A93" s="38"/>
      <c r="B93" s="38"/>
      <c r="C93" s="103"/>
      <c r="D93" s="92" t="s">
        <v>8</v>
      </c>
      <c r="E93" s="104"/>
      <c r="F93" s="275"/>
      <c r="G93" s="118"/>
      <c r="H93" s="127" t="s">
        <v>88</v>
      </c>
      <c r="I93" s="105">
        <f>SUM(I75:I92)</f>
        <v>2911000</v>
      </c>
      <c r="J93" s="828" t="str">
        <f>IF(C74="部分撤去工事","）うち費用",")")</f>
        <v>)</v>
      </c>
      <c r="K93" s="827">
        <f>IF(C74="部分撤去工事",(K70+L93),0)</f>
        <v>0</v>
      </c>
      <c r="L93" s="826">
        <f>IF(C74="部分撤去工事",SUMIF(N75:N92,"費用",I75:I92),0)</f>
        <v>0</v>
      </c>
      <c r="M93" s="526"/>
      <c r="N93" s="527"/>
      <c r="O93" s="227"/>
      <c r="P93" s="228"/>
      <c r="Q93" s="229"/>
      <c r="R93" s="229"/>
      <c r="S93" s="229"/>
      <c r="T93" s="229"/>
      <c r="U93" s="229"/>
      <c r="V93" s="229"/>
      <c r="W93" s="229"/>
      <c r="X93" s="230"/>
      <c r="Y93" s="230"/>
      <c r="Z93" s="230"/>
      <c r="AA93" s="230"/>
      <c r="AB93" s="230"/>
      <c r="AC93" s="229"/>
      <c r="AD93" s="461"/>
      <c r="AE93" s="462"/>
      <c r="AF93" s="229"/>
      <c r="AG93" s="229"/>
      <c r="AH93" s="463"/>
    </row>
    <row r="94" spans="1:34" ht="14.25" customHeight="1">
      <c r="E94" s="120" t="s">
        <v>86</v>
      </c>
      <c r="F94" s="121">
        <f>+F71+1</f>
        <v>11</v>
      </c>
      <c r="G94" s="122" t="s">
        <v>49</v>
      </c>
      <c r="H94" s="123">
        <f>+H71</f>
        <v>11</v>
      </c>
      <c r="I94" s="123"/>
      <c r="M94" s="33" t="str">
        <f>IF(A96="","EOL","")</f>
        <v>EOL</v>
      </c>
      <c r="N94" s="1">
        <f>+F94</f>
        <v>11</v>
      </c>
      <c r="Q94" s="39"/>
      <c r="R94" s="39"/>
      <c r="S94" s="39"/>
      <c r="T94" s="39"/>
      <c r="U94" s="39"/>
      <c r="V94" s="39"/>
      <c r="W94" s="39"/>
      <c r="X94" s="39"/>
      <c r="Y94" s="39"/>
      <c r="Z94" s="39"/>
    </row>
    <row r="95" spans="1:34" ht="26" customHeight="1">
      <c r="O95" s="226"/>
      <c r="P95" s="226"/>
      <c r="Q95" s="226"/>
      <c r="R95" s="226"/>
      <c r="S95" s="226"/>
      <c r="T95" s="226"/>
      <c r="U95" s="226"/>
      <c r="V95" s="226"/>
      <c r="W95" s="226"/>
      <c r="X95" s="226"/>
      <c r="Y95" s="226"/>
      <c r="Z95" s="226"/>
      <c r="AA95" s="226"/>
    </row>
    <row r="96" spans="1:34" ht="26" customHeight="1">
      <c r="O96" s="221"/>
      <c r="P96" s="221"/>
      <c r="Q96" s="222"/>
      <c r="R96" s="223"/>
      <c r="S96" s="224"/>
      <c r="T96" s="224"/>
      <c r="U96" s="222"/>
      <c r="V96" s="222"/>
      <c r="W96" s="224"/>
      <c r="X96" s="221"/>
      <c r="Y96" s="221"/>
      <c r="Z96" s="221"/>
      <c r="AA96" s="221"/>
    </row>
    <row r="97" spans="15:27" ht="26" customHeight="1">
      <c r="O97" s="225"/>
      <c r="P97" s="225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</row>
    <row r="98" spans="15:27" ht="26" customHeight="1">
      <c r="O98" s="225"/>
      <c r="P98" s="225"/>
      <c r="Q98" s="222"/>
      <c r="R98" s="222"/>
      <c r="S98" s="222"/>
      <c r="T98" s="222"/>
      <c r="U98" s="222"/>
      <c r="V98" s="222"/>
      <c r="W98" s="222"/>
      <c r="X98" s="222"/>
      <c r="Y98" s="222"/>
      <c r="Z98" s="222"/>
      <c r="AA98" s="222"/>
    </row>
    <row r="99" spans="15:27" ht="26" customHeight="1">
      <c r="O99" s="225"/>
      <c r="P99" s="225"/>
      <c r="Q99" s="222"/>
      <c r="R99" s="222"/>
      <c r="S99" s="222"/>
      <c r="T99" s="222"/>
      <c r="U99" s="222"/>
      <c r="V99" s="222"/>
      <c r="W99" s="222"/>
      <c r="X99" s="222"/>
      <c r="Y99" s="222"/>
      <c r="Z99" s="222"/>
      <c r="AA99" s="222"/>
    </row>
    <row r="100" spans="15:27" ht="26" customHeight="1">
      <c r="O100" s="225"/>
      <c r="P100" s="225"/>
      <c r="Q100" s="222"/>
      <c r="R100" s="222"/>
      <c r="S100" s="222"/>
      <c r="T100" s="222"/>
      <c r="U100" s="222"/>
      <c r="V100" s="222"/>
      <c r="W100" s="222"/>
      <c r="X100" s="222"/>
      <c r="Y100" s="222"/>
      <c r="Z100" s="222"/>
      <c r="AA100" s="222"/>
    </row>
    <row r="101" spans="15:27" ht="26" customHeight="1">
      <c r="O101" s="225"/>
      <c r="P101" s="225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</row>
    <row r="102" spans="15:27" ht="26" customHeight="1">
      <c r="O102" s="225"/>
      <c r="P102" s="225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</row>
    <row r="103" spans="15:27" ht="26" customHeight="1">
      <c r="O103" s="225"/>
      <c r="P103" s="225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</row>
    <row r="104" spans="15:27" ht="26" customHeight="1">
      <c r="O104" s="225"/>
      <c r="P104" s="225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</row>
    <row r="105" spans="15:27" ht="26" customHeight="1">
      <c r="O105" s="225"/>
      <c r="P105" s="225"/>
      <c r="Q105" s="222"/>
      <c r="R105" s="222"/>
      <c r="S105" s="222"/>
      <c r="T105" s="222"/>
      <c r="U105" s="222"/>
      <c r="V105" s="222"/>
      <c r="W105" s="222"/>
      <c r="X105" s="222"/>
      <c r="Y105" s="222"/>
      <c r="Z105" s="222"/>
      <c r="AA105" s="222"/>
    </row>
    <row r="106" spans="15:27" ht="26" customHeight="1">
      <c r="O106" s="225"/>
      <c r="P106" s="225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</row>
    <row r="107" spans="15:27" ht="26" customHeight="1">
      <c r="O107" s="225"/>
      <c r="P107" s="225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</row>
    <row r="108" spans="15:27" ht="26" customHeight="1">
      <c r="O108" s="225"/>
      <c r="P108" s="225"/>
      <c r="Q108" s="222"/>
      <c r="R108" s="222"/>
      <c r="S108" s="222"/>
      <c r="T108" s="222"/>
      <c r="U108" s="222"/>
      <c r="V108" s="222"/>
      <c r="W108" s="222"/>
      <c r="X108" s="222"/>
      <c r="Y108" s="222"/>
      <c r="Z108" s="222"/>
      <c r="AA108" s="222"/>
    </row>
    <row r="109" spans="15:27" ht="26" customHeight="1">
      <c r="O109" s="225"/>
      <c r="P109" s="225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</row>
    <row r="110" spans="15:27" ht="26" customHeight="1">
      <c r="O110" s="225"/>
      <c r="P110" s="225"/>
      <c r="Q110" s="222"/>
      <c r="R110" s="222"/>
      <c r="S110" s="222"/>
      <c r="T110" s="222"/>
      <c r="U110" s="222"/>
      <c r="V110" s="222"/>
      <c r="W110" s="222"/>
      <c r="X110" s="222"/>
      <c r="Y110" s="222"/>
      <c r="Z110" s="222"/>
      <c r="AA110" s="222"/>
    </row>
    <row r="111" spans="15:27" ht="26" customHeight="1">
      <c r="O111" s="225"/>
      <c r="P111" s="225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</row>
    <row r="112" spans="15:27" ht="26" customHeight="1">
      <c r="O112" s="225"/>
      <c r="P112" s="225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</row>
    <row r="113" spans="15:27" ht="26" customHeight="1">
      <c r="O113" s="225"/>
      <c r="P113" s="225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</row>
    <row r="114" spans="15:27" ht="26" customHeight="1">
      <c r="O114" s="225"/>
      <c r="P114" s="225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</row>
    <row r="115" spans="15:27" ht="26" customHeight="1">
      <c r="O115" s="225"/>
      <c r="P115" s="225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</row>
    <row r="116" spans="15:27" ht="26" customHeight="1">
      <c r="O116" s="225"/>
      <c r="P116" s="225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</row>
    <row r="117" spans="15:27" ht="26" customHeight="1">
      <c r="O117" s="1"/>
      <c r="P117" s="1"/>
    </row>
  </sheetData>
  <mergeCells count="16">
    <mergeCell ref="C3:L3"/>
    <mergeCell ref="O3:AG3"/>
    <mergeCell ref="J4:L4"/>
    <mergeCell ref="J5:L5"/>
    <mergeCell ref="C26:L26"/>
    <mergeCell ref="O26:AG26"/>
    <mergeCell ref="J73:L73"/>
    <mergeCell ref="J74:L74"/>
    <mergeCell ref="C72:L72"/>
    <mergeCell ref="O72:AH72"/>
    <mergeCell ref="J27:L27"/>
    <mergeCell ref="J28:L28"/>
    <mergeCell ref="C49:L49"/>
    <mergeCell ref="O49:AH49"/>
    <mergeCell ref="J50:L50"/>
    <mergeCell ref="J51:L51"/>
  </mergeCells>
  <phoneticPr fontId="2"/>
  <dataValidations count="1">
    <dataValidation type="list" allowBlank="1" showInputMessage="1" showErrorMessage="1" prompt="費用/建物附属設備/工具・器具・備品の場合、選択してください。" sqref="N75:N92 N52:N69" xr:uid="{00000000-0002-0000-08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98425196850393704" right="0.39370078740157499" top="0.78740157480314998" bottom="0.78740157480314998" header="0.51181102362204722" footer="0.51181102362204722"/>
  <pageSetup paperSize="9" scale="61" orientation="portrait" horizontalDpi="300" verticalDpi="300" r:id="rId1"/>
  <headerFooter alignWithMargins="0"/>
  <rowBreaks count="1" manualBreakCount="1">
    <brk id="2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BA48"/>
  <sheetViews>
    <sheetView topLeftCell="A3" zoomScale="75" zoomScaleNormal="75" workbookViewId="0">
      <selection activeCell="A3" sqref="A3"/>
    </sheetView>
  </sheetViews>
  <sheetFormatPr baseColWidth="10" defaultColWidth="6.6640625" defaultRowHeight="26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4" width="3.6640625" style="1" customWidth="1"/>
    <col min="15" max="33" width="5.1640625" style="39" customWidth="1"/>
    <col min="34" max="34" width="3.5" style="1" customWidth="1"/>
    <col min="35" max="46" width="4.1640625" style="1" customWidth="1"/>
    <col min="47" max="53" width="4.33203125" style="1" customWidth="1"/>
    <col min="54" max="16384" width="6.6640625" style="1"/>
  </cols>
  <sheetData>
    <row r="1" spans="1:53" ht="25.5" hidden="1" customHeight="1"/>
    <row r="2" spans="1:53" ht="24" hidden="1" customHeight="1">
      <c r="C2" s="37"/>
      <c r="E2" s="36" t="s">
        <v>50</v>
      </c>
      <c r="F2" s="82">
        <v>0</v>
      </c>
      <c r="G2" s="1"/>
      <c r="I2" s="4" t="s">
        <v>56</v>
      </c>
      <c r="J2" s="39">
        <f>VLOOKUP("EOL",$M$25:$N$65536,2,FALSE)</f>
        <v>2</v>
      </c>
    </row>
    <row r="3" spans="1:53" ht="26" customHeight="1" thickBot="1">
      <c r="C3" s="2741" t="s">
        <v>319</v>
      </c>
      <c r="D3" s="2741"/>
      <c r="E3" s="2741"/>
      <c r="F3" s="2741"/>
      <c r="G3" s="2741"/>
      <c r="H3" s="2741"/>
      <c r="I3" s="2741"/>
      <c r="J3" s="2741"/>
      <c r="K3" s="2741"/>
      <c r="L3" s="2741"/>
      <c r="O3" s="2735" t="s">
        <v>132</v>
      </c>
      <c r="P3" s="2736"/>
      <c r="Q3" s="2736"/>
      <c r="R3" s="2736"/>
      <c r="S3" s="2736"/>
      <c r="T3" s="2736"/>
      <c r="U3" s="2736"/>
      <c r="V3" s="2736"/>
      <c r="W3" s="2736"/>
      <c r="X3" s="2736"/>
      <c r="Y3" s="2736"/>
      <c r="Z3" s="2736"/>
      <c r="AA3" s="2736"/>
      <c r="AB3" s="2736"/>
      <c r="AC3" s="2736"/>
      <c r="AD3" s="2736"/>
      <c r="AE3" s="2736"/>
      <c r="AF3" s="2736"/>
      <c r="AG3" s="2737"/>
    </row>
    <row r="4" spans="1:53" ht="42" customHeight="1">
      <c r="A4" s="5" t="s">
        <v>149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742" t="s">
        <v>6</v>
      </c>
      <c r="K4" s="2743"/>
      <c r="L4" s="2744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53" ht="24" customHeight="1">
      <c r="A5" s="236">
        <v>1</v>
      </c>
      <c r="B5" s="236">
        <v>1</v>
      </c>
      <c r="C5" s="128" t="s">
        <v>187</v>
      </c>
      <c r="D5" s="209" t="s">
        <v>154</v>
      </c>
      <c r="E5" s="210" t="s">
        <v>154</v>
      </c>
      <c r="F5" s="211" t="s">
        <v>154</v>
      </c>
      <c r="G5" s="212" t="s">
        <v>154</v>
      </c>
      <c r="H5" s="83" t="s">
        <v>11</v>
      </c>
      <c r="I5" s="91" t="s">
        <v>11</v>
      </c>
      <c r="J5" s="2738"/>
      <c r="K5" s="2739"/>
      <c r="L5" s="2740"/>
      <c r="M5" s="39"/>
      <c r="N5" s="39"/>
      <c r="O5" s="156"/>
      <c r="P5" s="157"/>
      <c r="Q5" s="287"/>
      <c r="R5" s="287"/>
      <c r="S5" s="287"/>
      <c r="T5" s="287"/>
      <c r="U5" s="287"/>
      <c r="V5" s="213"/>
      <c r="W5" s="213"/>
      <c r="X5" s="213"/>
      <c r="Y5" s="213"/>
      <c r="Z5" s="213"/>
      <c r="AA5" s="213"/>
      <c r="AB5" s="156"/>
      <c r="AC5" s="157"/>
      <c r="AD5" s="213"/>
      <c r="AE5" s="213"/>
      <c r="AF5" s="213"/>
      <c r="AG5" s="213"/>
    </row>
    <row r="6" spans="1:53" ht="24" customHeight="1">
      <c r="A6" s="38"/>
      <c r="B6" s="38"/>
      <c r="C6" s="191"/>
      <c r="D6" s="65"/>
      <c r="E6" s="99"/>
      <c r="F6" s="114"/>
      <c r="G6" s="115"/>
      <c r="H6" s="101"/>
      <c r="I6" s="101" t="str">
        <f t="shared" ref="I6:I23" si="0">IF(F6="","",ROUNDDOWN(F6*H6,0))</f>
        <v/>
      </c>
      <c r="J6" s="65"/>
      <c r="K6" s="65"/>
      <c r="L6" s="66"/>
      <c r="M6" s="39"/>
      <c r="N6" s="39"/>
      <c r="O6" s="156"/>
      <c r="P6" s="157"/>
      <c r="Q6" s="287"/>
      <c r="R6" s="287"/>
      <c r="S6" s="287"/>
      <c r="T6" s="287"/>
      <c r="U6" s="287"/>
      <c r="V6" s="213"/>
      <c r="W6" s="213"/>
      <c r="X6" s="213"/>
      <c r="Y6" s="213"/>
      <c r="Z6" s="213"/>
      <c r="AA6" s="213"/>
      <c r="AB6" s="156"/>
      <c r="AC6" s="157"/>
      <c r="AD6" s="213"/>
      <c r="AE6" s="213"/>
      <c r="AF6" s="213"/>
      <c r="AG6" s="213"/>
      <c r="AI6" s="205">
        <f>$F6*O6</f>
        <v>0</v>
      </c>
      <c r="AJ6" s="205">
        <f t="shared" ref="AJ6:BA6" si="1">$F6*P6</f>
        <v>0</v>
      </c>
      <c r="AK6" s="205">
        <f t="shared" si="1"/>
        <v>0</v>
      </c>
      <c r="AL6" s="205">
        <f t="shared" si="1"/>
        <v>0</v>
      </c>
      <c r="AM6" s="205">
        <f t="shared" si="1"/>
        <v>0</v>
      </c>
      <c r="AN6" s="205">
        <f t="shared" si="1"/>
        <v>0</v>
      </c>
      <c r="AO6" s="205">
        <f t="shared" si="1"/>
        <v>0</v>
      </c>
      <c r="AP6" s="205">
        <f t="shared" si="1"/>
        <v>0</v>
      </c>
      <c r="AQ6" s="205">
        <f t="shared" si="1"/>
        <v>0</v>
      </c>
      <c r="AR6" s="205">
        <f t="shared" si="1"/>
        <v>0</v>
      </c>
      <c r="AS6" s="205">
        <f t="shared" si="1"/>
        <v>0</v>
      </c>
      <c r="AT6" s="205">
        <f t="shared" si="1"/>
        <v>0</v>
      </c>
      <c r="AU6" s="205">
        <f t="shared" si="1"/>
        <v>0</v>
      </c>
      <c r="AV6" s="205">
        <f t="shared" si="1"/>
        <v>0</v>
      </c>
      <c r="AW6" s="205">
        <f t="shared" si="1"/>
        <v>0</v>
      </c>
      <c r="AX6" s="205">
        <f t="shared" si="1"/>
        <v>0</v>
      </c>
      <c r="AY6" s="205">
        <f t="shared" si="1"/>
        <v>0</v>
      </c>
      <c r="AZ6" s="205">
        <f t="shared" si="1"/>
        <v>0</v>
      </c>
      <c r="BA6" s="205">
        <f t="shared" si="1"/>
        <v>0</v>
      </c>
    </row>
    <row r="7" spans="1:53" ht="24" customHeight="1">
      <c r="A7" s="38"/>
      <c r="B7" s="38"/>
      <c r="C7" s="102"/>
      <c r="D7" s="65"/>
      <c r="E7" s="99"/>
      <c r="F7" s="114"/>
      <c r="G7" s="115"/>
      <c r="H7" s="101"/>
      <c r="I7" s="101" t="str">
        <f t="shared" si="0"/>
        <v/>
      </c>
      <c r="J7" s="65"/>
      <c r="K7" s="65"/>
      <c r="L7" s="66"/>
      <c r="M7" s="39"/>
      <c r="N7" s="39"/>
      <c r="O7" s="156"/>
      <c r="P7" s="157"/>
      <c r="Q7" s="287"/>
      <c r="R7" s="287"/>
      <c r="S7" s="287"/>
      <c r="T7" s="287"/>
      <c r="U7" s="287"/>
      <c r="V7" s="213"/>
      <c r="W7" s="213"/>
      <c r="X7" s="213"/>
      <c r="Y7" s="213"/>
      <c r="Z7" s="213"/>
      <c r="AA7" s="213"/>
      <c r="AB7" s="156"/>
      <c r="AC7" s="157"/>
      <c r="AD7" s="213"/>
      <c r="AE7" s="213"/>
      <c r="AF7" s="213"/>
      <c r="AG7" s="213"/>
      <c r="AI7" s="205">
        <f t="shared" ref="AI7:AI23" si="2">$F7*O7</f>
        <v>0</v>
      </c>
      <c r="AJ7" s="205">
        <f t="shared" ref="AJ7:AJ23" si="3">$F7*P7</f>
        <v>0</v>
      </c>
      <c r="AK7" s="205">
        <f t="shared" ref="AK7:AK23" si="4">$F7*Q7</f>
        <v>0</v>
      </c>
      <c r="AL7" s="205">
        <f t="shared" ref="AL7:AL23" si="5">$F7*R7</f>
        <v>0</v>
      </c>
      <c r="AM7" s="205">
        <f t="shared" ref="AM7:AM23" si="6">$F7*S7</f>
        <v>0</v>
      </c>
      <c r="AN7" s="205">
        <f t="shared" ref="AN7:AN23" si="7">$F7*T7</f>
        <v>0</v>
      </c>
      <c r="AO7" s="205">
        <f t="shared" ref="AO7:AO23" si="8">$F7*U7</f>
        <v>0</v>
      </c>
      <c r="AP7" s="205">
        <f t="shared" ref="AP7:AP23" si="9">$F7*V7</f>
        <v>0</v>
      </c>
      <c r="AQ7" s="205">
        <f t="shared" ref="AQ7:AQ23" si="10">$F7*W7</f>
        <v>0</v>
      </c>
      <c r="AR7" s="205">
        <f t="shared" ref="AR7:AR23" si="11">$F7*X7</f>
        <v>0</v>
      </c>
      <c r="AS7" s="205">
        <f t="shared" ref="AS7:AS23" si="12">$F7*Y7</f>
        <v>0</v>
      </c>
      <c r="AT7" s="205">
        <f t="shared" ref="AT7:AT23" si="13">$F7*Z7</f>
        <v>0</v>
      </c>
      <c r="AU7" s="205">
        <f t="shared" ref="AU7:AU23" si="14">$F7*AA7</f>
        <v>0</v>
      </c>
      <c r="AV7" s="205">
        <f t="shared" ref="AV7:AV23" si="15">$F7*AB7</f>
        <v>0</v>
      </c>
      <c r="AW7" s="205">
        <f t="shared" ref="AW7:AW23" si="16">$F7*AC7</f>
        <v>0</v>
      </c>
      <c r="AX7" s="205">
        <f t="shared" ref="AX7:AX23" si="17">$F7*AD7</f>
        <v>0</v>
      </c>
      <c r="AY7" s="205">
        <f t="shared" ref="AY7:AY23" si="18">$F7*AE7</f>
        <v>0</v>
      </c>
      <c r="AZ7" s="205">
        <f t="shared" ref="AZ7:AZ23" si="19">$F7*AF7</f>
        <v>0</v>
      </c>
      <c r="BA7" s="205">
        <f t="shared" ref="BA7:BA23" si="20">$F7*AG7</f>
        <v>0</v>
      </c>
    </row>
    <row r="8" spans="1:53" ht="24" customHeight="1">
      <c r="A8" s="38"/>
      <c r="B8" s="38"/>
      <c r="C8" s="102"/>
      <c r="D8" s="65"/>
      <c r="E8" s="99"/>
      <c r="F8" s="114"/>
      <c r="G8" s="115"/>
      <c r="H8" s="101"/>
      <c r="I8" s="101" t="str">
        <f t="shared" si="0"/>
        <v/>
      </c>
      <c r="J8" s="65"/>
      <c r="K8" s="65"/>
      <c r="L8" s="66"/>
      <c r="M8" s="39"/>
      <c r="N8" s="39"/>
      <c r="O8" s="156"/>
      <c r="P8" s="157"/>
      <c r="Q8" s="287"/>
      <c r="R8" s="287"/>
      <c r="S8" s="287"/>
      <c r="T8" s="287"/>
      <c r="U8" s="287"/>
      <c r="V8" s="213"/>
      <c r="W8" s="213"/>
      <c r="X8" s="213"/>
      <c r="Y8" s="213"/>
      <c r="Z8" s="213"/>
      <c r="AA8" s="213"/>
      <c r="AB8" s="156"/>
      <c r="AC8" s="157"/>
      <c r="AD8" s="213"/>
      <c r="AE8" s="213"/>
      <c r="AF8" s="213"/>
      <c r="AG8" s="213"/>
      <c r="AI8" s="205">
        <f t="shared" si="2"/>
        <v>0</v>
      </c>
      <c r="AJ8" s="205">
        <f t="shared" si="3"/>
        <v>0</v>
      </c>
      <c r="AK8" s="205">
        <f t="shared" si="4"/>
        <v>0</v>
      </c>
      <c r="AL8" s="205">
        <f t="shared" si="5"/>
        <v>0</v>
      </c>
      <c r="AM8" s="205">
        <f t="shared" si="6"/>
        <v>0</v>
      </c>
      <c r="AN8" s="205">
        <f t="shared" si="7"/>
        <v>0</v>
      </c>
      <c r="AO8" s="205">
        <f t="shared" si="8"/>
        <v>0</v>
      </c>
      <c r="AP8" s="205">
        <f t="shared" si="9"/>
        <v>0</v>
      </c>
      <c r="AQ8" s="205">
        <f t="shared" si="10"/>
        <v>0</v>
      </c>
      <c r="AR8" s="205">
        <f t="shared" si="11"/>
        <v>0</v>
      </c>
      <c r="AS8" s="205">
        <f t="shared" si="12"/>
        <v>0</v>
      </c>
      <c r="AT8" s="205">
        <f t="shared" si="13"/>
        <v>0</v>
      </c>
      <c r="AU8" s="205">
        <f t="shared" si="14"/>
        <v>0</v>
      </c>
      <c r="AV8" s="205">
        <f t="shared" si="15"/>
        <v>0</v>
      </c>
      <c r="AW8" s="205">
        <f t="shared" si="16"/>
        <v>0</v>
      </c>
      <c r="AX8" s="205">
        <f t="shared" si="17"/>
        <v>0</v>
      </c>
      <c r="AY8" s="205">
        <f t="shared" si="18"/>
        <v>0</v>
      </c>
      <c r="AZ8" s="205">
        <f t="shared" si="19"/>
        <v>0</v>
      </c>
      <c r="BA8" s="205">
        <f t="shared" si="20"/>
        <v>0</v>
      </c>
    </row>
    <row r="9" spans="1:53" ht="24" customHeight="1">
      <c r="A9" s="38"/>
      <c r="B9" s="38"/>
      <c r="C9" s="102"/>
      <c r="D9" s="65"/>
      <c r="E9" s="99"/>
      <c r="F9" s="114"/>
      <c r="G9" s="115"/>
      <c r="H9" s="101"/>
      <c r="I9" s="101" t="str">
        <f t="shared" si="0"/>
        <v/>
      </c>
      <c r="J9" s="65"/>
      <c r="K9" s="65"/>
      <c r="L9" s="66"/>
      <c r="M9" s="39"/>
      <c r="N9" s="39"/>
      <c r="O9" s="156"/>
      <c r="P9" s="157"/>
      <c r="Q9" s="287"/>
      <c r="R9" s="287"/>
      <c r="S9" s="287"/>
      <c r="T9" s="287"/>
      <c r="U9" s="287"/>
      <c r="V9" s="213"/>
      <c r="W9" s="213"/>
      <c r="X9" s="213"/>
      <c r="Y9" s="213"/>
      <c r="Z9" s="213"/>
      <c r="AA9" s="213"/>
      <c r="AB9" s="156"/>
      <c r="AC9" s="157"/>
      <c r="AD9" s="213"/>
      <c r="AE9" s="213"/>
      <c r="AF9" s="213"/>
      <c r="AG9" s="213"/>
      <c r="AI9" s="205">
        <f t="shared" si="2"/>
        <v>0</v>
      </c>
      <c r="AJ9" s="205">
        <f t="shared" si="3"/>
        <v>0</v>
      </c>
      <c r="AK9" s="205">
        <f t="shared" si="4"/>
        <v>0</v>
      </c>
      <c r="AL9" s="205">
        <f t="shared" si="5"/>
        <v>0</v>
      </c>
      <c r="AM9" s="205">
        <f t="shared" si="6"/>
        <v>0</v>
      </c>
      <c r="AN9" s="205">
        <f t="shared" si="7"/>
        <v>0</v>
      </c>
      <c r="AO9" s="205">
        <f t="shared" si="8"/>
        <v>0</v>
      </c>
      <c r="AP9" s="205">
        <f t="shared" si="9"/>
        <v>0</v>
      </c>
      <c r="AQ9" s="205">
        <f t="shared" si="10"/>
        <v>0</v>
      </c>
      <c r="AR9" s="205">
        <f t="shared" si="11"/>
        <v>0</v>
      </c>
      <c r="AS9" s="205">
        <f t="shared" si="12"/>
        <v>0</v>
      </c>
      <c r="AT9" s="205">
        <f t="shared" si="13"/>
        <v>0</v>
      </c>
      <c r="AU9" s="205">
        <f t="shared" si="14"/>
        <v>0</v>
      </c>
      <c r="AV9" s="205">
        <f t="shared" si="15"/>
        <v>0</v>
      </c>
      <c r="AW9" s="205">
        <f t="shared" si="16"/>
        <v>0</v>
      </c>
      <c r="AX9" s="205">
        <f t="shared" si="17"/>
        <v>0</v>
      </c>
      <c r="AY9" s="205">
        <f t="shared" si="18"/>
        <v>0</v>
      </c>
      <c r="AZ9" s="205">
        <f t="shared" si="19"/>
        <v>0</v>
      </c>
      <c r="BA9" s="205">
        <f t="shared" si="20"/>
        <v>0</v>
      </c>
    </row>
    <row r="10" spans="1:53" ht="24" customHeight="1">
      <c r="A10" s="38"/>
      <c r="B10" s="38"/>
      <c r="C10" s="102"/>
      <c r="D10" s="65"/>
      <c r="E10" s="99"/>
      <c r="F10" s="114"/>
      <c r="G10" s="115"/>
      <c r="H10" s="101"/>
      <c r="I10" s="101" t="str">
        <f t="shared" si="0"/>
        <v/>
      </c>
      <c r="J10" s="65"/>
      <c r="K10" s="65"/>
      <c r="L10" s="66"/>
      <c r="M10" s="39"/>
      <c r="N10" s="39"/>
      <c r="O10" s="156"/>
      <c r="P10" s="157"/>
      <c r="Q10" s="287"/>
      <c r="R10" s="287"/>
      <c r="S10" s="287"/>
      <c r="T10" s="287"/>
      <c r="U10" s="287"/>
      <c r="V10" s="213"/>
      <c r="W10" s="213"/>
      <c r="X10" s="213"/>
      <c r="Y10" s="213"/>
      <c r="Z10" s="213"/>
      <c r="AA10" s="213"/>
      <c r="AB10" s="156"/>
      <c r="AC10" s="157"/>
      <c r="AD10" s="213"/>
      <c r="AE10" s="213"/>
      <c r="AF10" s="213"/>
      <c r="AG10" s="213"/>
      <c r="AI10" s="205">
        <f t="shared" si="2"/>
        <v>0</v>
      </c>
      <c r="AJ10" s="205">
        <f t="shared" si="3"/>
        <v>0</v>
      </c>
      <c r="AK10" s="205">
        <f t="shared" si="4"/>
        <v>0</v>
      </c>
      <c r="AL10" s="205">
        <f t="shared" si="5"/>
        <v>0</v>
      </c>
      <c r="AM10" s="205">
        <f t="shared" si="6"/>
        <v>0</v>
      </c>
      <c r="AN10" s="205">
        <f t="shared" si="7"/>
        <v>0</v>
      </c>
      <c r="AO10" s="205">
        <f t="shared" si="8"/>
        <v>0</v>
      </c>
      <c r="AP10" s="205">
        <f t="shared" si="9"/>
        <v>0</v>
      </c>
      <c r="AQ10" s="205">
        <f t="shared" si="10"/>
        <v>0</v>
      </c>
      <c r="AR10" s="205">
        <f t="shared" si="11"/>
        <v>0</v>
      </c>
      <c r="AS10" s="205">
        <f t="shared" si="12"/>
        <v>0</v>
      </c>
      <c r="AT10" s="205">
        <f t="shared" si="13"/>
        <v>0</v>
      </c>
      <c r="AU10" s="205">
        <f t="shared" si="14"/>
        <v>0</v>
      </c>
      <c r="AV10" s="205">
        <f t="shared" si="15"/>
        <v>0</v>
      </c>
      <c r="AW10" s="205">
        <f t="shared" si="16"/>
        <v>0</v>
      </c>
      <c r="AX10" s="205">
        <f t="shared" si="17"/>
        <v>0</v>
      </c>
      <c r="AY10" s="205">
        <f t="shared" si="18"/>
        <v>0</v>
      </c>
      <c r="AZ10" s="205">
        <f t="shared" si="19"/>
        <v>0</v>
      </c>
      <c r="BA10" s="205">
        <f t="shared" si="20"/>
        <v>0</v>
      </c>
    </row>
    <row r="11" spans="1:53" ht="24" customHeight="1">
      <c r="A11" s="38"/>
      <c r="B11" s="38"/>
      <c r="C11" s="102"/>
      <c r="D11" s="65"/>
      <c r="E11" s="99"/>
      <c r="F11" s="114"/>
      <c r="G11" s="115"/>
      <c r="H11" s="101"/>
      <c r="I11" s="101" t="str">
        <f t="shared" si="0"/>
        <v/>
      </c>
      <c r="J11" s="65"/>
      <c r="K11" s="65"/>
      <c r="L11" s="66"/>
      <c r="M11" s="39"/>
      <c r="N11" s="39"/>
      <c r="O11" s="156"/>
      <c r="P11" s="157"/>
      <c r="Q11" s="287"/>
      <c r="R11" s="287"/>
      <c r="S11" s="287"/>
      <c r="T11" s="287"/>
      <c r="U11" s="287"/>
      <c r="V11" s="213"/>
      <c r="W11" s="213"/>
      <c r="X11" s="213"/>
      <c r="Y11" s="213"/>
      <c r="Z11" s="213"/>
      <c r="AA11" s="213"/>
      <c r="AB11" s="156"/>
      <c r="AC11" s="157"/>
      <c r="AD11" s="213"/>
      <c r="AE11" s="213"/>
      <c r="AF11" s="213"/>
      <c r="AG11" s="213"/>
      <c r="AI11" s="205">
        <f t="shared" si="2"/>
        <v>0</v>
      </c>
      <c r="AJ11" s="205">
        <f t="shared" si="3"/>
        <v>0</v>
      </c>
      <c r="AK11" s="205">
        <f t="shared" si="4"/>
        <v>0</v>
      </c>
      <c r="AL11" s="205">
        <f t="shared" si="5"/>
        <v>0</v>
      </c>
      <c r="AM11" s="205">
        <f t="shared" si="6"/>
        <v>0</v>
      </c>
      <c r="AN11" s="205">
        <f t="shared" si="7"/>
        <v>0</v>
      </c>
      <c r="AO11" s="205">
        <f t="shared" si="8"/>
        <v>0</v>
      </c>
      <c r="AP11" s="205">
        <f t="shared" si="9"/>
        <v>0</v>
      </c>
      <c r="AQ11" s="205">
        <f t="shared" si="10"/>
        <v>0</v>
      </c>
      <c r="AR11" s="205">
        <f t="shared" si="11"/>
        <v>0</v>
      </c>
      <c r="AS11" s="205">
        <f t="shared" si="12"/>
        <v>0</v>
      </c>
      <c r="AT11" s="205">
        <f t="shared" si="13"/>
        <v>0</v>
      </c>
      <c r="AU11" s="205">
        <f t="shared" si="14"/>
        <v>0</v>
      </c>
      <c r="AV11" s="205">
        <f t="shared" si="15"/>
        <v>0</v>
      </c>
      <c r="AW11" s="205">
        <f t="shared" si="16"/>
        <v>0</v>
      </c>
      <c r="AX11" s="205">
        <f t="shared" si="17"/>
        <v>0</v>
      </c>
      <c r="AY11" s="205">
        <f t="shared" si="18"/>
        <v>0</v>
      </c>
      <c r="AZ11" s="205">
        <f t="shared" si="19"/>
        <v>0</v>
      </c>
      <c r="BA11" s="205">
        <f t="shared" si="20"/>
        <v>0</v>
      </c>
    </row>
    <row r="12" spans="1:53" s="39" customFormat="1" ht="24" customHeight="1">
      <c r="A12" s="38"/>
      <c r="B12" s="38"/>
      <c r="C12" s="102"/>
      <c r="D12" s="65"/>
      <c r="E12" s="99"/>
      <c r="F12" s="114"/>
      <c r="G12" s="115"/>
      <c r="H12" s="101"/>
      <c r="I12" s="101" t="str">
        <f t="shared" si="0"/>
        <v/>
      </c>
      <c r="J12" s="65"/>
      <c r="K12" s="65"/>
      <c r="L12" s="66"/>
      <c r="O12" s="156"/>
      <c r="P12" s="157"/>
      <c r="Q12" s="287"/>
      <c r="R12" s="287"/>
      <c r="S12" s="287"/>
      <c r="T12" s="287"/>
      <c r="U12" s="287"/>
      <c r="V12" s="213"/>
      <c r="W12" s="213"/>
      <c r="X12" s="213"/>
      <c r="Y12" s="213"/>
      <c r="Z12" s="213"/>
      <c r="AA12" s="213"/>
      <c r="AB12" s="156"/>
      <c r="AC12" s="157"/>
      <c r="AD12" s="213"/>
      <c r="AE12" s="213"/>
      <c r="AF12" s="213"/>
      <c r="AG12" s="213"/>
      <c r="AI12" s="205">
        <f t="shared" si="2"/>
        <v>0</v>
      </c>
      <c r="AJ12" s="205">
        <f t="shared" si="3"/>
        <v>0</v>
      </c>
      <c r="AK12" s="205">
        <f t="shared" si="4"/>
        <v>0</v>
      </c>
      <c r="AL12" s="205">
        <f t="shared" si="5"/>
        <v>0</v>
      </c>
      <c r="AM12" s="205">
        <f t="shared" si="6"/>
        <v>0</v>
      </c>
      <c r="AN12" s="205">
        <f t="shared" si="7"/>
        <v>0</v>
      </c>
      <c r="AO12" s="205">
        <f t="shared" si="8"/>
        <v>0</v>
      </c>
      <c r="AP12" s="205">
        <f t="shared" si="9"/>
        <v>0</v>
      </c>
      <c r="AQ12" s="205">
        <f t="shared" si="10"/>
        <v>0</v>
      </c>
      <c r="AR12" s="205">
        <f t="shared" si="11"/>
        <v>0</v>
      </c>
      <c r="AS12" s="205">
        <f t="shared" si="12"/>
        <v>0</v>
      </c>
      <c r="AT12" s="205">
        <f t="shared" si="13"/>
        <v>0</v>
      </c>
      <c r="AU12" s="205">
        <f t="shared" si="14"/>
        <v>0</v>
      </c>
      <c r="AV12" s="205">
        <f t="shared" si="15"/>
        <v>0</v>
      </c>
      <c r="AW12" s="205">
        <f t="shared" si="16"/>
        <v>0</v>
      </c>
      <c r="AX12" s="205">
        <f t="shared" si="17"/>
        <v>0</v>
      </c>
      <c r="AY12" s="205">
        <f t="shared" si="18"/>
        <v>0</v>
      </c>
      <c r="AZ12" s="205">
        <f t="shared" si="19"/>
        <v>0</v>
      </c>
      <c r="BA12" s="205">
        <f t="shared" si="20"/>
        <v>0</v>
      </c>
    </row>
    <row r="13" spans="1:53" ht="24" customHeight="1">
      <c r="A13" s="38"/>
      <c r="B13" s="38"/>
      <c r="C13" s="102"/>
      <c r="D13" s="65"/>
      <c r="E13" s="99"/>
      <c r="F13" s="114"/>
      <c r="G13" s="115"/>
      <c r="H13" s="101"/>
      <c r="I13" s="101" t="str">
        <f t="shared" si="0"/>
        <v/>
      </c>
      <c r="J13" s="65"/>
      <c r="K13" s="65"/>
      <c r="L13" s="66"/>
      <c r="M13" s="39"/>
      <c r="N13" s="39"/>
      <c r="O13" s="156"/>
      <c r="P13" s="157"/>
      <c r="Q13" s="287"/>
      <c r="R13" s="287"/>
      <c r="S13" s="287"/>
      <c r="T13" s="287"/>
      <c r="U13" s="287"/>
      <c r="V13" s="213"/>
      <c r="W13" s="213"/>
      <c r="X13" s="213"/>
      <c r="Y13" s="213"/>
      <c r="Z13" s="213"/>
      <c r="AA13" s="213"/>
      <c r="AB13" s="156"/>
      <c r="AC13" s="157"/>
      <c r="AD13" s="213"/>
      <c r="AE13" s="213"/>
      <c r="AF13" s="213"/>
      <c r="AG13" s="213"/>
      <c r="AI13" s="205">
        <f t="shared" si="2"/>
        <v>0</v>
      </c>
      <c r="AJ13" s="205">
        <f t="shared" si="3"/>
        <v>0</v>
      </c>
      <c r="AK13" s="205">
        <f t="shared" si="4"/>
        <v>0</v>
      </c>
      <c r="AL13" s="205">
        <f t="shared" si="5"/>
        <v>0</v>
      </c>
      <c r="AM13" s="205">
        <f t="shared" si="6"/>
        <v>0</v>
      </c>
      <c r="AN13" s="205">
        <f t="shared" si="7"/>
        <v>0</v>
      </c>
      <c r="AO13" s="205">
        <f t="shared" si="8"/>
        <v>0</v>
      </c>
      <c r="AP13" s="205">
        <f t="shared" si="9"/>
        <v>0</v>
      </c>
      <c r="AQ13" s="205">
        <f t="shared" si="10"/>
        <v>0</v>
      </c>
      <c r="AR13" s="205">
        <f t="shared" si="11"/>
        <v>0</v>
      </c>
      <c r="AS13" s="205">
        <f t="shared" si="12"/>
        <v>0</v>
      </c>
      <c r="AT13" s="205">
        <f t="shared" si="13"/>
        <v>0</v>
      </c>
      <c r="AU13" s="205">
        <f t="shared" si="14"/>
        <v>0</v>
      </c>
      <c r="AV13" s="205">
        <f t="shared" si="15"/>
        <v>0</v>
      </c>
      <c r="AW13" s="205">
        <f t="shared" si="16"/>
        <v>0</v>
      </c>
      <c r="AX13" s="205">
        <f t="shared" si="17"/>
        <v>0</v>
      </c>
      <c r="AY13" s="205">
        <f t="shared" si="18"/>
        <v>0</v>
      </c>
      <c r="AZ13" s="205">
        <f t="shared" si="19"/>
        <v>0</v>
      </c>
      <c r="BA13" s="205">
        <f t="shared" si="20"/>
        <v>0</v>
      </c>
    </row>
    <row r="14" spans="1:53" ht="24" customHeight="1">
      <c r="A14" s="38"/>
      <c r="B14" s="38"/>
      <c r="C14" s="102"/>
      <c r="D14" s="65"/>
      <c r="E14" s="208"/>
      <c r="F14" s="114"/>
      <c r="G14" s="115"/>
      <c r="H14" s="101"/>
      <c r="I14" s="101" t="str">
        <f t="shared" si="0"/>
        <v/>
      </c>
      <c r="J14" s="65"/>
      <c r="K14" s="65"/>
      <c r="L14" s="66"/>
      <c r="M14" s="39"/>
      <c r="N14" s="39"/>
      <c r="O14" s="156"/>
      <c r="P14" s="157"/>
      <c r="Q14" s="287"/>
      <c r="R14" s="287"/>
      <c r="S14" s="287"/>
      <c r="T14" s="287"/>
      <c r="U14" s="287"/>
      <c r="V14" s="213"/>
      <c r="W14" s="213"/>
      <c r="X14" s="213"/>
      <c r="Y14" s="213"/>
      <c r="Z14" s="213"/>
      <c r="AA14" s="213"/>
      <c r="AB14" s="156"/>
      <c r="AC14" s="157"/>
      <c r="AD14" s="213"/>
      <c r="AE14" s="213"/>
      <c r="AF14" s="213"/>
      <c r="AG14" s="213"/>
      <c r="AI14" s="205">
        <f t="shared" si="2"/>
        <v>0</v>
      </c>
      <c r="AJ14" s="205">
        <f t="shared" si="3"/>
        <v>0</v>
      </c>
      <c r="AK14" s="205">
        <f t="shared" si="4"/>
        <v>0</v>
      </c>
      <c r="AL14" s="205">
        <f t="shared" si="5"/>
        <v>0</v>
      </c>
      <c r="AM14" s="205">
        <f t="shared" si="6"/>
        <v>0</v>
      </c>
      <c r="AN14" s="205">
        <f t="shared" si="7"/>
        <v>0</v>
      </c>
      <c r="AO14" s="205">
        <f t="shared" si="8"/>
        <v>0</v>
      </c>
      <c r="AP14" s="205">
        <f t="shared" si="9"/>
        <v>0</v>
      </c>
      <c r="AQ14" s="205">
        <f t="shared" si="10"/>
        <v>0</v>
      </c>
      <c r="AR14" s="205">
        <f t="shared" si="11"/>
        <v>0</v>
      </c>
      <c r="AS14" s="205">
        <f t="shared" si="12"/>
        <v>0</v>
      </c>
      <c r="AT14" s="205">
        <f t="shared" si="13"/>
        <v>0</v>
      </c>
      <c r="AU14" s="205">
        <f t="shared" si="14"/>
        <v>0</v>
      </c>
      <c r="AV14" s="205">
        <f t="shared" si="15"/>
        <v>0</v>
      </c>
      <c r="AW14" s="205">
        <f t="shared" si="16"/>
        <v>0</v>
      </c>
      <c r="AX14" s="205">
        <f t="shared" si="17"/>
        <v>0</v>
      </c>
      <c r="AY14" s="205">
        <f t="shared" si="18"/>
        <v>0</v>
      </c>
      <c r="AZ14" s="205">
        <f t="shared" si="19"/>
        <v>0</v>
      </c>
      <c r="BA14" s="205">
        <f t="shared" si="20"/>
        <v>0</v>
      </c>
    </row>
    <row r="15" spans="1:53" s="39" customFormat="1" ht="24" customHeight="1">
      <c r="A15" s="38"/>
      <c r="B15" s="38"/>
      <c r="C15" s="102"/>
      <c r="D15" s="65"/>
      <c r="E15" s="99"/>
      <c r="F15" s="114"/>
      <c r="G15" s="115"/>
      <c r="H15" s="101"/>
      <c r="I15" s="101" t="str">
        <f t="shared" si="0"/>
        <v/>
      </c>
      <c r="J15" s="65"/>
      <c r="K15" s="65"/>
      <c r="L15" s="66"/>
      <c r="O15" s="156"/>
      <c r="P15" s="157"/>
      <c r="Q15" s="287"/>
      <c r="R15" s="287"/>
      <c r="S15" s="287"/>
      <c r="T15" s="287"/>
      <c r="U15" s="287"/>
      <c r="V15" s="213"/>
      <c r="W15" s="213"/>
      <c r="X15" s="213"/>
      <c r="Y15" s="213"/>
      <c r="Z15" s="213"/>
      <c r="AA15" s="213"/>
      <c r="AB15" s="156"/>
      <c r="AC15" s="157"/>
      <c r="AD15" s="213"/>
      <c r="AE15" s="213"/>
      <c r="AF15" s="213"/>
      <c r="AG15" s="213"/>
      <c r="AI15" s="205">
        <f t="shared" si="2"/>
        <v>0</v>
      </c>
      <c r="AJ15" s="205">
        <f t="shared" si="3"/>
        <v>0</v>
      </c>
      <c r="AK15" s="205">
        <f t="shared" si="4"/>
        <v>0</v>
      </c>
      <c r="AL15" s="205">
        <f t="shared" si="5"/>
        <v>0</v>
      </c>
      <c r="AM15" s="205">
        <f t="shared" si="6"/>
        <v>0</v>
      </c>
      <c r="AN15" s="205">
        <f t="shared" si="7"/>
        <v>0</v>
      </c>
      <c r="AO15" s="205">
        <f t="shared" si="8"/>
        <v>0</v>
      </c>
      <c r="AP15" s="205">
        <f t="shared" si="9"/>
        <v>0</v>
      </c>
      <c r="AQ15" s="205">
        <f t="shared" si="10"/>
        <v>0</v>
      </c>
      <c r="AR15" s="205">
        <f t="shared" si="11"/>
        <v>0</v>
      </c>
      <c r="AS15" s="205">
        <f t="shared" si="12"/>
        <v>0</v>
      </c>
      <c r="AT15" s="205">
        <f t="shared" si="13"/>
        <v>0</v>
      </c>
      <c r="AU15" s="205">
        <f t="shared" si="14"/>
        <v>0</v>
      </c>
      <c r="AV15" s="205">
        <f t="shared" si="15"/>
        <v>0</v>
      </c>
      <c r="AW15" s="205">
        <f t="shared" si="16"/>
        <v>0</v>
      </c>
      <c r="AX15" s="205">
        <f t="shared" si="17"/>
        <v>0</v>
      </c>
      <c r="AY15" s="205">
        <f t="shared" si="18"/>
        <v>0</v>
      </c>
      <c r="AZ15" s="205">
        <f t="shared" si="19"/>
        <v>0</v>
      </c>
      <c r="BA15" s="205">
        <f t="shared" si="20"/>
        <v>0</v>
      </c>
    </row>
    <row r="16" spans="1:53" ht="24" customHeight="1">
      <c r="A16" s="38"/>
      <c r="B16" s="38"/>
      <c r="C16" s="102"/>
      <c r="D16" s="65"/>
      <c r="E16" s="99"/>
      <c r="F16" s="114"/>
      <c r="G16" s="115"/>
      <c r="H16" s="101"/>
      <c r="I16" s="101" t="str">
        <f t="shared" si="0"/>
        <v/>
      </c>
      <c r="J16" s="65"/>
      <c r="K16" s="65"/>
      <c r="L16" s="66"/>
      <c r="M16" s="39"/>
      <c r="N16" s="39"/>
      <c r="O16" s="156"/>
      <c r="P16" s="157"/>
      <c r="Q16" s="287"/>
      <c r="R16" s="287"/>
      <c r="S16" s="287"/>
      <c r="T16" s="287"/>
      <c r="U16" s="287"/>
      <c r="V16" s="213"/>
      <c r="W16" s="213"/>
      <c r="X16" s="213"/>
      <c r="Y16" s="213"/>
      <c r="Z16" s="213"/>
      <c r="AA16" s="213"/>
      <c r="AB16" s="156"/>
      <c r="AC16" s="157"/>
      <c r="AD16" s="213"/>
      <c r="AE16" s="213"/>
      <c r="AF16" s="213"/>
      <c r="AG16" s="213"/>
      <c r="AI16" s="205">
        <f t="shared" si="2"/>
        <v>0</v>
      </c>
      <c r="AJ16" s="205">
        <f t="shared" si="3"/>
        <v>0</v>
      </c>
      <c r="AK16" s="205">
        <f t="shared" si="4"/>
        <v>0</v>
      </c>
      <c r="AL16" s="205">
        <f t="shared" si="5"/>
        <v>0</v>
      </c>
      <c r="AM16" s="205">
        <f t="shared" si="6"/>
        <v>0</v>
      </c>
      <c r="AN16" s="205">
        <f t="shared" si="7"/>
        <v>0</v>
      </c>
      <c r="AO16" s="205">
        <f t="shared" si="8"/>
        <v>0</v>
      </c>
      <c r="AP16" s="205">
        <f t="shared" si="9"/>
        <v>0</v>
      </c>
      <c r="AQ16" s="205">
        <f t="shared" si="10"/>
        <v>0</v>
      </c>
      <c r="AR16" s="205">
        <f t="shared" si="11"/>
        <v>0</v>
      </c>
      <c r="AS16" s="205">
        <f t="shared" si="12"/>
        <v>0</v>
      </c>
      <c r="AT16" s="205">
        <f t="shared" si="13"/>
        <v>0</v>
      </c>
      <c r="AU16" s="205">
        <f t="shared" si="14"/>
        <v>0</v>
      </c>
      <c r="AV16" s="205">
        <f t="shared" si="15"/>
        <v>0</v>
      </c>
      <c r="AW16" s="205">
        <f t="shared" si="16"/>
        <v>0</v>
      </c>
      <c r="AX16" s="205">
        <f t="shared" si="17"/>
        <v>0</v>
      </c>
      <c r="AY16" s="205">
        <f t="shared" si="18"/>
        <v>0</v>
      </c>
      <c r="AZ16" s="205">
        <f t="shared" si="19"/>
        <v>0</v>
      </c>
      <c r="BA16" s="205">
        <f t="shared" si="20"/>
        <v>0</v>
      </c>
    </row>
    <row r="17" spans="1:53" s="39" customFormat="1" ht="24" customHeight="1">
      <c r="A17" s="38"/>
      <c r="B17" s="38"/>
      <c r="C17" s="102"/>
      <c r="D17" s="65"/>
      <c r="E17" s="99"/>
      <c r="F17" s="114"/>
      <c r="G17" s="115"/>
      <c r="H17" s="101"/>
      <c r="I17" s="101" t="str">
        <f t="shared" si="0"/>
        <v/>
      </c>
      <c r="J17" s="65"/>
      <c r="K17" s="65"/>
      <c r="L17" s="66"/>
      <c r="O17" s="156"/>
      <c r="P17" s="157"/>
      <c r="Q17" s="287"/>
      <c r="R17" s="287"/>
      <c r="S17" s="287"/>
      <c r="T17" s="287"/>
      <c r="U17" s="287"/>
      <c r="V17" s="213"/>
      <c r="W17" s="213"/>
      <c r="X17" s="213"/>
      <c r="Y17" s="213"/>
      <c r="Z17" s="213"/>
      <c r="AA17" s="213"/>
      <c r="AB17" s="156"/>
      <c r="AC17" s="157"/>
      <c r="AD17" s="213"/>
      <c r="AE17" s="213"/>
      <c r="AF17" s="213"/>
      <c r="AG17" s="213"/>
      <c r="AI17" s="205">
        <f t="shared" si="2"/>
        <v>0</v>
      </c>
      <c r="AJ17" s="205">
        <f t="shared" si="3"/>
        <v>0</v>
      </c>
      <c r="AK17" s="205">
        <f t="shared" si="4"/>
        <v>0</v>
      </c>
      <c r="AL17" s="205">
        <f t="shared" si="5"/>
        <v>0</v>
      </c>
      <c r="AM17" s="205">
        <f t="shared" si="6"/>
        <v>0</v>
      </c>
      <c r="AN17" s="205">
        <f t="shared" si="7"/>
        <v>0</v>
      </c>
      <c r="AO17" s="205">
        <f t="shared" si="8"/>
        <v>0</v>
      </c>
      <c r="AP17" s="205">
        <f t="shared" si="9"/>
        <v>0</v>
      </c>
      <c r="AQ17" s="205">
        <f t="shared" si="10"/>
        <v>0</v>
      </c>
      <c r="AR17" s="205">
        <f t="shared" si="11"/>
        <v>0</v>
      </c>
      <c r="AS17" s="205">
        <f t="shared" si="12"/>
        <v>0</v>
      </c>
      <c r="AT17" s="205">
        <f t="shared" si="13"/>
        <v>0</v>
      </c>
      <c r="AU17" s="205">
        <f t="shared" si="14"/>
        <v>0</v>
      </c>
      <c r="AV17" s="205">
        <f t="shared" si="15"/>
        <v>0</v>
      </c>
      <c r="AW17" s="205">
        <f t="shared" si="16"/>
        <v>0</v>
      </c>
      <c r="AX17" s="205">
        <f t="shared" si="17"/>
        <v>0</v>
      </c>
      <c r="AY17" s="205">
        <f t="shared" si="18"/>
        <v>0</v>
      </c>
      <c r="AZ17" s="205">
        <f t="shared" si="19"/>
        <v>0</v>
      </c>
      <c r="BA17" s="205">
        <f t="shared" si="20"/>
        <v>0</v>
      </c>
    </row>
    <row r="18" spans="1:53" ht="24" customHeight="1">
      <c r="A18" s="38"/>
      <c r="B18" s="38"/>
      <c r="C18" s="191"/>
      <c r="D18" s="65"/>
      <c r="E18" s="99"/>
      <c r="F18" s="114"/>
      <c r="G18" s="115"/>
      <c r="H18" s="101"/>
      <c r="I18" s="101" t="str">
        <f t="shared" si="0"/>
        <v/>
      </c>
      <c r="J18" s="65"/>
      <c r="K18" s="65"/>
      <c r="L18" s="66"/>
      <c r="M18" s="39"/>
      <c r="N18" s="39"/>
      <c r="O18" s="156"/>
      <c r="P18" s="157"/>
      <c r="Q18" s="287"/>
      <c r="R18" s="287"/>
      <c r="S18" s="287"/>
      <c r="T18" s="287"/>
      <c r="U18" s="287"/>
      <c r="V18" s="213"/>
      <c r="W18" s="213"/>
      <c r="X18" s="213"/>
      <c r="Y18" s="213"/>
      <c r="Z18" s="213"/>
      <c r="AA18" s="213"/>
      <c r="AB18" s="156"/>
      <c r="AC18" s="157"/>
      <c r="AD18" s="213"/>
      <c r="AE18" s="213"/>
      <c r="AF18" s="213"/>
      <c r="AG18" s="213"/>
      <c r="AI18" s="205">
        <f t="shared" si="2"/>
        <v>0</v>
      </c>
      <c r="AJ18" s="205">
        <f t="shared" si="3"/>
        <v>0</v>
      </c>
      <c r="AK18" s="205">
        <f t="shared" si="4"/>
        <v>0</v>
      </c>
      <c r="AL18" s="205">
        <f t="shared" si="5"/>
        <v>0</v>
      </c>
      <c r="AM18" s="205">
        <f t="shared" si="6"/>
        <v>0</v>
      </c>
      <c r="AN18" s="205">
        <f t="shared" si="7"/>
        <v>0</v>
      </c>
      <c r="AO18" s="205">
        <f t="shared" si="8"/>
        <v>0</v>
      </c>
      <c r="AP18" s="205">
        <f t="shared" si="9"/>
        <v>0</v>
      </c>
      <c r="AQ18" s="205">
        <f t="shared" si="10"/>
        <v>0</v>
      </c>
      <c r="AR18" s="205">
        <f t="shared" si="11"/>
        <v>0</v>
      </c>
      <c r="AS18" s="205">
        <f t="shared" si="12"/>
        <v>0</v>
      </c>
      <c r="AT18" s="205">
        <f t="shared" si="13"/>
        <v>0</v>
      </c>
      <c r="AU18" s="205">
        <f t="shared" si="14"/>
        <v>0</v>
      </c>
      <c r="AV18" s="205">
        <f t="shared" si="15"/>
        <v>0</v>
      </c>
      <c r="AW18" s="205">
        <f t="shared" si="16"/>
        <v>0</v>
      </c>
      <c r="AX18" s="205">
        <f t="shared" si="17"/>
        <v>0</v>
      </c>
      <c r="AY18" s="205">
        <f t="shared" si="18"/>
        <v>0</v>
      </c>
      <c r="AZ18" s="205">
        <f t="shared" si="19"/>
        <v>0</v>
      </c>
      <c r="BA18" s="205">
        <f t="shared" si="20"/>
        <v>0</v>
      </c>
    </row>
    <row r="19" spans="1:53" ht="24" customHeight="1">
      <c r="A19" s="38"/>
      <c r="B19" s="38"/>
      <c r="C19" s="102"/>
      <c r="D19" s="65"/>
      <c r="E19" s="99"/>
      <c r="F19" s="114"/>
      <c r="G19" s="115"/>
      <c r="H19" s="101"/>
      <c r="I19" s="101" t="str">
        <f t="shared" si="0"/>
        <v/>
      </c>
      <c r="J19" s="65"/>
      <c r="K19" s="65"/>
      <c r="L19" s="66"/>
      <c r="M19" s="39"/>
      <c r="N19" s="39"/>
      <c r="O19" s="156"/>
      <c r="P19" s="157"/>
      <c r="Q19" s="287"/>
      <c r="R19" s="287"/>
      <c r="S19" s="287"/>
      <c r="T19" s="287"/>
      <c r="U19" s="287"/>
      <c r="V19" s="213"/>
      <c r="W19" s="213"/>
      <c r="X19" s="213"/>
      <c r="Y19" s="213"/>
      <c r="Z19" s="213"/>
      <c r="AA19" s="213"/>
      <c r="AB19" s="156"/>
      <c r="AC19" s="157"/>
      <c r="AD19" s="213"/>
      <c r="AE19" s="213"/>
      <c r="AF19" s="213"/>
      <c r="AG19" s="213"/>
      <c r="AI19" s="205">
        <f t="shared" si="2"/>
        <v>0</v>
      </c>
      <c r="AJ19" s="205">
        <f t="shared" si="3"/>
        <v>0</v>
      </c>
      <c r="AK19" s="205">
        <f t="shared" si="4"/>
        <v>0</v>
      </c>
      <c r="AL19" s="205">
        <f t="shared" si="5"/>
        <v>0</v>
      </c>
      <c r="AM19" s="205">
        <f t="shared" si="6"/>
        <v>0</v>
      </c>
      <c r="AN19" s="205">
        <f t="shared" si="7"/>
        <v>0</v>
      </c>
      <c r="AO19" s="205">
        <f t="shared" si="8"/>
        <v>0</v>
      </c>
      <c r="AP19" s="205">
        <f t="shared" si="9"/>
        <v>0</v>
      </c>
      <c r="AQ19" s="205">
        <f t="shared" si="10"/>
        <v>0</v>
      </c>
      <c r="AR19" s="205">
        <f t="shared" si="11"/>
        <v>0</v>
      </c>
      <c r="AS19" s="205">
        <f t="shared" si="12"/>
        <v>0</v>
      </c>
      <c r="AT19" s="205">
        <f t="shared" si="13"/>
        <v>0</v>
      </c>
      <c r="AU19" s="205">
        <f t="shared" si="14"/>
        <v>0</v>
      </c>
      <c r="AV19" s="205">
        <f t="shared" si="15"/>
        <v>0</v>
      </c>
      <c r="AW19" s="205">
        <f t="shared" si="16"/>
        <v>0</v>
      </c>
      <c r="AX19" s="205">
        <f t="shared" si="17"/>
        <v>0</v>
      </c>
      <c r="AY19" s="205">
        <f t="shared" si="18"/>
        <v>0</v>
      </c>
      <c r="AZ19" s="205">
        <f t="shared" si="19"/>
        <v>0</v>
      </c>
      <c r="BA19" s="205">
        <f t="shared" si="20"/>
        <v>0</v>
      </c>
    </row>
    <row r="20" spans="1:53" ht="24" customHeight="1">
      <c r="A20" s="38"/>
      <c r="B20" s="38"/>
      <c r="C20" s="102"/>
      <c r="D20" s="65"/>
      <c r="E20" s="99"/>
      <c r="F20" s="114"/>
      <c r="G20" s="115"/>
      <c r="H20" s="101"/>
      <c r="I20" s="101" t="str">
        <f t="shared" si="0"/>
        <v/>
      </c>
      <c r="J20" s="192"/>
      <c r="K20" s="65"/>
      <c r="L20" s="66"/>
      <c r="M20" s="39"/>
      <c r="N20" s="39"/>
      <c r="O20" s="156"/>
      <c r="P20" s="157"/>
      <c r="Q20" s="287"/>
      <c r="R20" s="287"/>
      <c r="S20" s="287"/>
      <c r="T20" s="287"/>
      <c r="U20" s="287"/>
      <c r="V20" s="213"/>
      <c r="W20" s="213"/>
      <c r="X20" s="213"/>
      <c r="Y20" s="213"/>
      <c r="Z20" s="213"/>
      <c r="AA20" s="213"/>
      <c r="AB20" s="156"/>
      <c r="AC20" s="157"/>
      <c r="AD20" s="213"/>
      <c r="AE20" s="213"/>
      <c r="AF20" s="213"/>
      <c r="AG20" s="213"/>
      <c r="AI20" s="205">
        <f t="shared" si="2"/>
        <v>0</v>
      </c>
      <c r="AJ20" s="205">
        <f t="shared" si="3"/>
        <v>0</v>
      </c>
      <c r="AK20" s="205">
        <f t="shared" si="4"/>
        <v>0</v>
      </c>
      <c r="AL20" s="205">
        <f t="shared" si="5"/>
        <v>0</v>
      </c>
      <c r="AM20" s="205">
        <f t="shared" si="6"/>
        <v>0</v>
      </c>
      <c r="AN20" s="205">
        <f t="shared" si="7"/>
        <v>0</v>
      </c>
      <c r="AO20" s="205">
        <f t="shared" si="8"/>
        <v>0</v>
      </c>
      <c r="AP20" s="205">
        <f t="shared" si="9"/>
        <v>0</v>
      </c>
      <c r="AQ20" s="205">
        <f t="shared" si="10"/>
        <v>0</v>
      </c>
      <c r="AR20" s="205">
        <f t="shared" si="11"/>
        <v>0</v>
      </c>
      <c r="AS20" s="205">
        <f t="shared" si="12"/>
        <v>0</v>
      </c>
      <c r="AT20" s="205">
        <f t="shared" si="13"/>
        <v>0</v>
      </c>
      <c r="AU20" s="205">
        <f t="shared" si="14"/>
        <v>0</v>
      </c>
      <c r="AV20" s="205">
        <f t="shared" si="15"/>
        <v>0</v>
      </c>
      <c r="AW20" s="205">
        <f t="shared" si="16"/>
        <v>0</v>
      </c>
      <c r="AX20" s="205">
        <f t="shared" si="17"/>
        <v>0</v>
      </c>
      <c r="AY20" s="205">
        <f t="shared" si="18"/>
        <v>0</v>
      </c>
      <c r="AZ20" s="205">
        <f t="shared" si="19"/>
        <v>0</v>
      </c>
      <c r="BA20" s="205">
        <f t="shared" si="20"/>
        <v>0</v>
      </c>
    </row>
    <row r="21" spans="1:53" ht="24" customHeight="1">
      <c r="A21" s="38"/>
      <c r="B21" s="38"/>
      <c r="C21" s="102"/>
      <c r="D21" s="65"/>
      <c r="E21" s="99"/>
      <c r="F21" s="114"/>
      <c r="G21" s="115"/>
      <c r="H21" s="101"/>
      <c r="I21" s="101" t="str">
        <f t="shared" si="0"/>
        <v/>
      </c>
      <c r="J21" s="65"/>
      <c r="K21" s="65"/>
      <c r="L21" s="66"/>
      <c r="M21" s="39"/>
      <c r="N21" s="39"/>
      <c r="O21" s="156"/>
      <c r="P21" s="157"/>
      <c r="Q21" s="287"/>
      <c r="R21" s="287"/>
      <c r="S21" s="287"/>
      <c r="T21" s="287"/>
      <c r="U21" s="287"/>
      <c r="V21" s="213"/>
      <c r="W21" s="213"/>
      <c r="X21" s="213"/>
      <c r="Y21" s="213"/>
      <c r="Z21" s="213"/>
      <c r="AA21" s="213"/>
      <c r="AB21" s="156"/>
      <c r="AC21" s="157"/>
      <c r="AD21" s="213"/>
      <c r="AE21" s="213"/>
      <c r="AF21" s="213"/>
      <c r="AG21" s="213"/>
      <c r="AI21" s="205">
        <f t="shared" si="2"/>
        <v>0</v>
      </c>
      <c r="AJ21" s="205">
        <f t="shared" si="3"/>
        <v>0</v>
      </c>
      <c r="AK21" s="205">
        <f t="shared" si="4"/>
        <v>0</v>
      </c>
      <c r="AL21" s="205">
        <f t="shared" si="5"/>
        <v>0</v>
      </c>
      <c r="AM21" s="205">
        <f t="shared" si="6"/>
        <v>0</v>
      </c>
      <c r="AN21" s="205">
        <f t="shared" si="7"/>
        <v>0</v>
      </c>
      <c r="AO21" s="205">
        <f t="shared" si="8"/>
        <v>0</v>
      </c>
      <c r="AP21" s="205">
        <f t="shared" si="9"/>
        <v>0</v>
      </c>
      <c r="AQ21" s="205">
        <f t="shared" si="10"/>
        <v>0</v>
      </c>
      <c r="AR21" s="205">
        <f t="shared" si="11"/>
        <v>0</v>
      </c>
      <c r="AS21" s="205">
        <f t="shared" si="12"/>
        <v>0</v>
      </c>
      <c r="AT21" s="205">
        <f t="shared" si="13"/>
        <v>0</v>
      </c>
      <c r="AU21" s="205">
        <f t="shared" si="14"/>
        <v>0</v>
      </c>
      <c r="AV21" s="205">
        <f t="shared" si="15"/>
        <v>0</v>
      </c>
      <c r="AW21" s="205">
        <f t="shared" si="16"/>
        <v>0</v>
      </c>
      <c r="AX21" s="205">
        <f t="shared" si="17"/>
        <v>0</v>
      </c>
      <c r="AY21" s="205">
        <f t="shared" si="18"/>
        <v>0</v>
      </c>
      <c r="AZ21" s="205">
        <f t="shared" si="19"/>
        <v>0</v>
      </c>
      <c r="BA21" s="205">
        <f t="shared" si="20"/>
        <v>0</v>
      </c>
    </row>
    <row r="22" spans="1:53" ht="24" customHeight="1">
      <c r="A22" s="38"/>
      <c r="B22" s="38"/>
      <c r="C22" s="102"/>
      <c r="D22" s="65"/>
      <c r="E22" s="99"/>
      <c r="F22" s="114"/>
      <c r="G22" s="115"/>
      <c r="H22" s="101"/>
      <c r="I22" s="101" t="str">
        <f t="shared" si="0"/>
        <v/>
      </c>
      <c r="J22" s="65"/>
      <c r="K22" s="65"/>
      <c r="L22" s="66"/>
      <c r="M22" s="39"/>
      <c r="N22" s="39"/>
      <c r="O22" s="156"/>
      <c r="P22" s="157"/>
      <c r="Q22" s="287"/>
      <c r="R22" s="287"/>
      <c r="S22" s="287"/>
      <c r="T22" s="287"/>
      <c r="U22" s="287"/>
      <c r="V22" s="213"/>
      <c r="W22" s="213"/>
      <c r="X22" s="213"/>
      <c r="Y22" s="213"/>
      <c r="Z22" s="213"/>
      <c r="AA22" s="213"/>
      <c r="AB22" s="156"/>
      <c r="AC22" s="157"/>
      <c r="AD22" s="213"/>
      <c r="AE22" s="213"/>
      <c r="AF22" s="213"/>
      <c r="AG22" s="213"/>
      <c r="AI22" s="205">
        <f t="shared" si="2"/>
        <v>0</v>
      </c>
      <c r="AJ22" s="205">
        <f t="shared" si="3"/>
        <v>0</v>
      </c>
      <c r="AK22" s="205">
        <f t="shared" si="4"/>
        <v>0</v>
      </c>
      <c r="AL22" s="205">
        <f t="shared" si="5"/>
        <v>0</v>
      </c>
      <c r="AM22" s="205">
        <f t="shared" si="6"/>
        <v>0</v>
      </c>
      <c r="AN22" s="205">
        <f t="shared" si="7"/>
        <v>0</v>
      </c>
      <c r="AO22" s="205">
        <f t="shared" si="8"/>
        <v>0</v>
      </c>
      <c r="AP22" s="205">
        <f t="shared" si="9"/>
        <v>0</v>
      </c>
      <c r="AQ22" s="205">
        <f t="shared" si="10"/>
        <v>0</v>
      </c>
      <c r="AR22" s="205">
        <f t="shared" si="11"/>
        <v>0</v>
      </c>
      <c r="AS22" s="205">
        <f t="shared" si="12"/>
        <v>0</v>
      </c>
      <c r="AT22" s="205">
        <f t="shared" si="13"/>
        <v>0</v>
      </c>
      <c r="AU22" s="205">
        <f t="shared" si="14"/>
        <v>0</v>
      </c>
      <c r="AV22" s="205">
        <f t="shared" si="15"/>
        <v>0</v>
      </c>
      <c r="AW22" s="205">
        <f t="shared" si="16"/>
        <v>0</v>
      </c>
      <c r="AX22" s="205">
        <f t="shared" si="17"/>
        <v>0</v>
      </c>
      <c r="AY22" s="205">
        <f t="shared" si="18"/>
        <v>0</v>
      </c>
      <c r="AZ22" s="205">
        <f t="shared" si="19"/>
        <v>0</v>
      </c>
      <c r="BA22" s="205">
        <f t="shared" si="20"/>
        <v>0</v>
      </c>
    </row>
    <row r="23" spans="1:53" s="39" customFormat="1" ht="24" customHeight="1">
      <c r="A23" s="38"/>
      <c r="B23" s="38"/>
      <c r="C23" s="102"/>
      <c r="D23" s="65"/>
      <c r="E23" s="99"/>
      <c r="F23" s="114"/>
      <c r="G23" s="115"/>
      <c r="H23" s="101"/>
      <c r="I23" s="101" t="str">
        <f t="shared" si="0"/>
        <v/>
      </c>
      <c r="J23" s="65"/>
      <c r="K23" s="65"/>
      <c r="L23" s="66"/>
      <c r="O23" s="156"/>
      <c r="P23" s="157"/>
      <c r="Q23" s="287"/>
      <c r="R23" s="287"/>
      <c r="S23" s="287"/>
      <c r="T23" s="287"/>
      <c r="U23" s="287"/>
      <c r="V23" s="213"/>
      <c r="W23" s="213"/>
      <c r="X23" s="213"/>
      <c r="Y23" s="213"/>
      <c r="Z23" s="213"/>
      <c r="AA23" s="213"/>
      <c r="AB23" s="156"/>
      <c r="AC23" s="157"/>
      <c r="AD23" s="213"/>
      <c r="AE23" s="213"/>
      <c r="AF23" s="213"/>
      <c r="AG23" s="213"/>
      <c r="AI23" s="205">
        <f t="shared" si="2"/>
        <v>0</v>
      </c>
      <c r="AJ23" s="205">
        <f t="shared" si="3"/>
        <v>0</v>
      </c>
      <c r="AK23" s="205">
        <f t="shared" si="4"/>
        <v>0</v>
      </c>
      <c r="AL23" s="205">
        <f t="shared" si="5"/>
        <v>0</v>
      </c>
      <c r="AM23" s="205">
        <f t="shared" si="6"/>
        <v>0</v>
      </c>
      <c r="AN23" s="205">
        <f t="shared" si="7"/>
        <v>0</v>
      </c>
      <c r="AO23" s="205">
        <f t="shared" si="8"/>
        <v>0</v>
      </c>
      <c r="AP23" s="205">
        <f t="shared" si="9"/>
        <v>0</v>
      </c>
      <c r="AQ23" s="205">
        <f t="shared" si="10"/>
        <v>0</v>
      </c>
      <c r="AR23" s="205">
        <f t="shared" si="11"/>
        <v>0</v>
      </c>
      <c r="AS23" s="205">
        <f t="shared" si="12"/>
        <v>0</v>
      </c>
      <c r="AT23" s="205">
        <f t="shared" si="13"/>
        <v>0</v>
      </c>
      <c r="AU23" s="205">
        <f t="shared" si="14"/>
        <v>0</v>
      </c>
      <c r="AV23" s="205">
        <f t="shared" si="15"/>
        <v>0</v>
      </c>
      <c r="AW23" s="205">
        <f t="shared" si="16"/>
        <v>0</v>
      </c>
      <c r="AX23" s="205">
        <f t="shared" si="17"/>
        <v>0</v>
      </c>
      <c r="AY23" s="205">
        <f t="shared" si="18"/>
        <v>0</v>
      </c>
      <c r="AZ23" s="205">
        <f t="shared" si="19"/>
        <v>0</v>
      </c>
      <c r="BA23" s="205">
        <f t="shared" si="20"/>
        <v>0</v>
      </c>
    </row>
    <row r="24" spans="1:53" ht="24" customHeight="1" thickBot="1">
      <c r="A24" s="38"/>
      <c r="B24" s="38"/>
      <c r="C24" s="103"/>
      <c r="D24" s="92" t="s">
        <v>8</v>
      </c>
      <c r="E24" s="104"/>
      <c r="F24" s="117"/>
      <c r="G24" s="118"/>
      <c r="H24" s="127" t="s">
        <v>88</v>
      </c>
      <c r="I24" s="207">
        <f>SUM(I6:I23)</f>
        <v>0</v>
      </c>
      <c r="J24" s="92" t="s">
        <v>89</v>
      </c>
      <c r="K24" s="92"/>
      <c r="L24" s="119"/>
      <c r="O24" s="288">
        <f>AI24</f>
        <v>0</v>
      </c>
      <c r="P24" s="289">
        <f t="shared" ref="P24:AG24" si="21">AJ24</f>
        <v>0</v>
      </c>
      <c r="Q24" s="290">
        <f t="shared" si="21"/>
        <v>0</v>
      </c>
      <c r="R24" s="290">
        <f t="shared" si="21"/>
        <v>0</v>
      </c>
      <c r="S24" s="290">
        <f t="shared" si="21"/>
        <v>0</v>
      </c>
      <c r="T24" s="290">
        <f t="shared" si="21"/>
        <v>0</v>
      </c>
      <c r="U24" s="290">
        <f t="shared" si="21"/>
        <v>0</v>
      </c>
      <c r="V24" s="291">
        <f t="shared" si="21"/>
        <v>0</v>
      </c>
      <c r="W24" s="291">
        <f t="shared" si="21"/>
        <v>0</v>
      </c>
      <c r="X24" s="291">
        <f t="shared" si="21"/>
        <v>0</v>
      </c>
      <c r="Y24" s="291">
        <f t="shared" si="21"/>
        <v>0</v>
      </c>
      <c r="Z24" s="291">
        <f t="shared" si="21"/>
        <v>0</v>
      </c>
      <c r="AA24" s="291">
        <f t="shared" si="21"/>
        <v>0</v>
      </c>
      <c r="AB24" s="288">
        <f t="shared" si="21"/>
        <v>0</v>
      </c>
      <c r="AC24" s="289">
        <f t="shared" si="21"/>
        <v>0</v>
      </c>
      <c r="AD24" s="291">
        <f t="shared" si="21"/>
        <v>0</v>
      </c>
      <c r="AE24" s="291">
        <f t="shared" si="21"/>
        <v>0</v>
      </c>
      <c r="AF24" s="291">
        <f>AZ24</f>
        <v>0</v>
      </c>
      <c r="AG24" s="291">
        <f t="shared" si="21"/>
        <v>0</v>
      </c>
      <c r="AI24" s="206">
        <f>SUM(AI6:AI23)</f>
        <v>0</v>
      </c>
      <c r="AJ24" s="206">
        <f t="shared" ref="AJ24:AS24" si="22">SUM(AJ6:AJ23)</f>
        <v>0</v>
      </c>
      <c r="AK24" s="206">
        <f t="shared" si="22"/>
        <v>0</v>
      </c>
      <c r="AL24" s="206">
        <f t="shared" si="22"/>
        <v>0</v>
      </c>
      <c r="AM24" s="206">
        <f>SUM(AM6:AM23)</f>
        <v>0</v>
      </c>
      <c r="AN24" s="206">
        <f>SUM(AN6:AN23)</f>
        <v>0</v>
      </c>
      <c r="AO24" s="206">
        <f t="shared" si="22"/>
        <v>0</v>
      </c>
      <c r="AP24" s="206">
        <f t="shared" si="22"/>
        <v>0</v>
      </c>
      <c r="AQ24" s="206">
        <f t="shared" si="22"/>
        <v>0</v>
      </c>
      <c r="AR24" s="206">
        <f t="shared" si="22"/>
        <v>0</v>
      </c>
      <c r="AS24" s="206">
        <f t="shared" si="22"/>
        <v>0</v>
      </c>
      <c r="AT24" s="206">
        <f>SUM(AT6:AT23)</f>
        <v>0</v>
      </c>
      <c r="AU24" s="206">
        <f t="shared" ref="AU24:BA24" si="23">SUM(AU6:AU23)</f>
        <v>0</v>
      </c>
      <c r="AV24" s="206">
        <f t="shared" si="23"/>
        <v>0</v>
      </c>
      <c r="AW24" s="206">
        <f t="shared" si="23"/>
        <v>0</v>
      </c>
      <c r="AX24" s="206">
        <f t="shared" si="23"/>
        <v>0</v>
      </c>
      <c r="AY24" s="206">
        <f t="shared" si="23"/>
        <v>0</v>
      </c>
      <c r="AZ24" s="206">
        <f t="shared" si="23"/>
        <v>0</v>
      </c>
      <c r="BA24" s="206">
        <f t="shared" si="23"/>
        <v>0</v>
      </c>
    </row>
    <row r="25" spans="1:53" ht="14.25" customHeight="1">
      <c r="E25" s="120" t="s">
        <v>150</v>
      </c>
      <c r="F25" s="121">
        <f>+F2+1</f>
        <v>1</v>
      </c>
      <c r="G25" s="122" t="s">
        <v>151</v>
      </c>
      <c r="H25" s="123">
        <f>+J2</f>
        <v>2</v>
      </c>
      <c r="M25" s="33" t="str">
        <f>IF(A27="","EOL","")</f>
        <v/>
      </c>
      <c r="N25" s="1">
        <f>+F25</f>
        <v>1</v>
      </c>
    </row>
    <row r="26" spans="1:53" ht="26" customHeight="1" thickBot="1">
      <c r="C26" s="2741" t="s">
        <v>319</v>
      </c>
      <c r="D26" s="2741"/>
      <c r="E26" s="2741"/>
      <c r="F26" s="2741"/>
      <c r="G26" s="2741"/>
      <c r="H26" s="2741"/>
      <c r="I26" s="2741"/>
      <c r="J26" s="2741"/>
      <c r="K26" s="2741"/>
      <c r="L26" s="2741"/>
      <c r="O26" s="2735" t="s">
        <v>132</v>
      </c>
      <c r="P26" s="2736"/>
      <c r="Q26" s="2736"/>
      <c r="R26" s="2736"/>
      <c r="S26" s="2736"/>
      <c r="T26" s="2736"/>
      <c r="U26" s="2736"/>
      <c r="V26" s="2736"/>
      <c r="W26" s="2736"/>
      <c r="X26" s="2736"/>
      <c r="Y26" s="2736"/>
      <c r="Z26" s="2736"/>
      <c r="AA26" s="2736"/>
      <c r="AB26" s="2736"/>
      <c r="AC26" s="2736"/>
      <c r="AD26" s="2736"/>
      <c r="AE26" s="2736"/>
      <c r="AF26" s="2736"/>
      <c r="AG26" s="2737"/>
    </row>
    <row r="27" spans="1:53" ht="41.25" customHeight="1">
      <c r="A27" s="5" t="s">
        <v>12</v>
      </c>
      <c r="B27" s="5" t="s">
        <v>44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742" t="s">
        <v>6</v>
      </c>
      <c r="K27" s="2743"/>
      <c r="L27" s="2744"/>
      <c r="O27" s="154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53" ht="24" customHeight="1">
      <c r="A28" s="236">
        <v>1</v>
      </c>
      <c r="B28" s="236">
        <v>1</v>
      </c>
      <c r="C28" s="128" t="s">
        <v>153</v>
      </c>
      <c r="D28" s="209" t="s">
        <v>152</v>
      </c>
      <c r="E28" s="210" t="s">
        <v>158</v>
      </c>
      <c r="F28" s="211">
        <v>1</v>
      </c>
      <c r="G28" s="212" t="s">
        <v>113</v>
      </c>
      <c r="H28" s="90" t="s">
        <v>11</v>
      </c>
      <c r="I28" s="90" t="s">
        <v>11</v>
      </c>
      <c r="J28" s="2738"/>
      <c r="K28" s="2739"/>
      <c r="L28" s="2740"/>
      <c r="O28" s="156"/>
      <c r="P28" s="157"/>
      <c r="Q28" s="287"/>
      <c r="R28" s="287"/>
      <c r="S28" s="287"/>
      <c r="T28" s="287"/>
      <c r="U28" s="287"/>
      <c r="V28" s="213"/>
      <c r="W28" s="213"/>
      <c r="X28" s="213"/>
      <c r="Y28" s="213"/>
      <c r="Z28" s="213"/>
      <c r="AA28" s="213"/>
      <c r="AB28" s="156"/>
      <c r="AC28" s="157"/>
      <c r="AD28" s="213"/>
      <c r="AE28" s="213"/>
      <c r="AF28" s="213"/>
      <c r="AG28" s="213"/>
    </row>
    <row r="29" spans="1:53" s="39" customFormat="1" ht="24" customHeight="1">
      <c r="A29" s="38"/>
      <c r="B29" s="38"/>
      <c r="C29" s="124"/>
      <c r="D29" s="125"/>
      <c r="E29" s="114"/>
      <c r="F29" s="114"/>
      <c r="G29" s="115"/>
      <c r="H29" s="131"/>
      <c r="I29" s="101" t="str">
        <f t="shared" ref="I29:I40" si="24">IF(F29="","",ROUNDDOWN(F29*H29,0))</f>
        <v/>
      </c>
      <c r="J29" s="64"/>
      <c r="K29" s="65"/>
      <c r="L29" s="66"/>
      <c r="O29" s="156"/>
      <c r="P29" s="157"/>
      <c r="Q29" s="287"/>
      <c r="R29" s="287"/>
      <c r="S29" s="287"/>
      <c r="T29" s="287"/>
      <c r="U29" s="287"/>
      <c r="V29" s="213"/>
      <c r="W29" s="213"/>
      <c r="X29" s="213"/>
      <c r="Y29" s="213"/>
      <c r="Z29" s="213"/>
      <c r="AA29" s="213"/>
      <c r="AB29" s="156"/>
      <c r="AC29" s="157"/>
      <c r="AD29" s="213"/>
      <c r="AE29" s="213"/>
      <c r="AF29" s="213"/>
      <c r="AG29" s="213"/>
      <c r="AI29" s="205">
        <f>$F29*O29</f>
        <v>0</v>
      </c>
      <c r="AJ29" s="205">
        <f t="shared" ref="AJ29:AJ46" si="25">$F29*P29</f>
        <v>0</v>
      </c>
      <c r="AK29" s="205">
        <f t="shared" ref="AK29:AK46" si="26">$F29*Q29</f>
        <v>0</v>
      </c>
      <c r="AL29" s="205">
        <f t="shared" ref="AL29:AL46" si="27">$F29*R29</f>
        <v>0</v>
      </c>
      <c r="AM29" s="205">
        <f t="shared" ref="AM29:AM46" si="28">$F29*S29</f>
        <v>0</v>
      </c>
      <c r="AN29" s="205">
        <f t="shared" ref="AN29:AN46" si="29">$F29*T29</f>
        <v>0</v>
      </c>
      <c r="AO29" s="205">
        <f t="shared" ref="AO29:AO46" si="30">$F29*U29</f>
        <v>0</v>
      </c>
      <c r="AP29" s="205">
        <f t="shared" ref="AP29:AP46" si="31">$F29*V29</f>
        <v>0</v>
      </c>
      <c r="AQ29" s="205">
        <f t="shared" ref="AQ29:AQ46" si="32">$F29*W29</f>
        <v>0</v>
      </c>
      <c r="AR29" s="205">
        <f t="shared" ref="AR29:AR46" si="33">$F29*X29</f>
        <v>0</v>
      </c>
      <c r="AS29" s="205">
        <f t="shared" ref="AS29:AS46" si="34">$F29*Y29</f>
        <v>0</v>
      </c>
      <c r="AT29" s="205">
        <f t="shared" ref="AT29:AT46" si="35">$F29*Z29</f>
        <v>0</v>
      </c>
      <c r="AU29" s="205">
        <f t="shared" ref="AU29:AU46" si="36">$F29*AA29</f>
        <v>0</v>
      </c>
      <c r="AV29" s="205">
        <f t="shared" ref="AV29:AV46" si="37">$F29*AB29</f>
        <v>0</v>
      </c>
      <c r="AW29" s="205">
        <f t="shared" ref="AW29:AW46" si="38">$F29*AC29</f>
        <v>0</v>
      </c>
      <c r="AX29" s="205">
        <f t="shared" ref="AX29:AX46" si="39">$F29*AD29</f>
        <v>0</v>
      </c>
      <c r="AY29" s="205">
        <f t="shared" ref="AY29:AY46" si="40">$F29*AE29</f>
        <v>0</v>
      </c>
      <c r="AZ29" s="205">
        <f t="shared" ref="AZ29:AZ46" si="41">$F29*AF29</f>
        <v>0</v>
      </c>
      <c r="BA29" s="205">
        <f t="shared" ref="BA29:BA46" si="42">$F29*AG29</f>
        <v>0</v>
      </c>
    </row>
    <row r="30" spans="1:53" ht="24" customHeight="1">
      <c r="A30" s="38">
        <v>1</v>
      </c>
      <c r="B30" s="38">
        <v>1</v>
      </c>
      <c r="C30" s="102">
        <v>300901</v>
      </c>
      <c r="D30" s="65" t="s">
        <v>155</v>
      </c>
      <c r="E30" s="99" t="s">
        <v>156</v>
      </c>
      <c r="F30" s="114">
        <v>0.4</v>
      </c>
      <c r="G30" s="115" t="s">
        <v>60</v>
      </c>
      <c r="H30" s="101"/>
      <c r="I30" s="101">
        <f t="shared" si="24"/>
        <v>0</v>
      </c>
      <c r="J30" s="65" t="s">
        <v>157</v>
      </c>
      <c r="K30" s="65"/>
      <c r="L30" s="66"/>
      <c r="M30" s="39"/>
      <c r="N30" s="39"/>
      <c r="O30" s="156">
        <v>0</v>
      </c>
      <c r="P30" s="157"/>
      <c r="Q30" s="287"/>
      <c r="R30" s="287"/>
      <c r="S30" s="287"/>
      <c r="T30" s="287"/>
      <c r="U30" s="287"/>
      <c r="V30" s="213"/>
      <c r="W30" s="213"/>
      <c r="X30" s="213"/>
      <c r="Y30" s="213"/>
      <c r="Z30" s="213"/>
      <c r="AA30" s="213"/>
      <c r="AB30" s="156"/>
      <c r="AC30" s="157"/>
      <c r="AD30" s="213"/>
      <c r="AE30" s="213"/>
      <c r="AF30" s="213"/>
      <c r="AG30" s="213"/>
      <c r="AI30" s="205">
        <f t="shared" ref="AI30:AI46" si="43">$F30*O30</f>
        <v>0</v>
      </c>
      <c r="AJ30" s="205">
        <f t="shared" si="25"/>
        <v>0</v>
      </c>
      <c r="AK30" s="205">
        <f t="shared" si="26"/>
        <v>0</v>
      </c>
      <c r="AL30" s="205">
        <f t="shared" si="27"/>
        <v>0</v>
      </c>
      <c r="AM30" s="205">
        <f t="shared" si="28"/>
        <v>0</v>
      </c>
      <c r="AN30" s="205">
        <f t="shared" si="29"/>
        <v>0</v>
      </c>
      <c r="AO30" s="205">
        <f t="shared" si="30"/>
        <v>0</v>
      </c>
      <c r="AP30" s="205">
        <f t="shared" si="31"/>
        <v>0</v>
      </c>
      <c r="AQ30" s="205">
        <f t="shared" si="32"/>
        <v>0</v>
      </c>
      <c r="AR30" s="205">
        <f t="shared" si="33"/>
        <v>0</v>
      </c>
      <c r="AS30" s="205">
        <f t="shared" si="34"/>
        <v>0</v>
      </c>
      <c r="AT30" s="205">
        <f t="shared" si="35"/>
        <v>0</v>
      </c>
      <c r="AU30" s="205">
        <f t="shared" si="36"/>
        <v>0</v>
      </c>
      <c r="AV30" s="205">
        <f t="shared" si="37"/>
        <v>0</v>
      </c>
      <c r="AW30" s="205">
        <f t="shared" si="38"/>
        <v>0</v>
      </c>
      <c r="AX30" s="205">
        <f t="shared" si="39"/>
        <v>0</v>
      </c>
      <c r="AY30" s="205">
        <f t="shared" si="40"/>
        <v>0</v>
      </c>
      <c r="AZ30" s="205">
        <f t="shared" si="41"/>
        <v>0</v>
      </c>
      <c r="BA30" s="205">
        <f t="shared" si="42"/>
        <v>0</v>
      </c>
    </row>
    <row r="31" spans="1:53" ht="24" customHeight="1">
      <c r="A31" s="38">
        <v>1</v>
      </c>
      <c r="B31" s="38">
        <v>1</v>
      </c>
      <c r="C31" s="102">
        <v>3011</v>
      </c>
      <c r="D31" s="65" t="s">
        <v>159</v>
      </c>
      <c r="E31" s="99" t="s">
        <v>160</v>
      </c>
      <c r="F31" s="114">
        <v>0.1</v>
      </c>
      <c r="G31" s="115" t="s">
        <v>60</v>
      </c>
      <c r="H31" s="101"/>
      <c r="I31" s="101">
        <f t="shared" si="24"/>
        <v>0</v>
      </c>
      <c r="J31" s="65" t="s">
        <v>161</v>
      </c>
      <c r="K31" s="65"/>
      <c r="L31" s="66"/>
      <c r="M31" s="39"/>
      <c r="N31" s="39"/>
      <c r="O31" s="156">
        <v>0</v>
      </c>
      <c r="P31" s="157"/>
      <c r="Q31" s="287"/>
      <c r="R31" s="287"/>
      <c r="S31" s="287"/>
      <c r="T31" s="287"/>
      <c r="U31" s="287"/>
      <c r="V31" s="213"/>
      <c r="W31" s="213"/>
      <c r="X31" s="213"/>
      <c r="Y31" s="213"/>
      <c r="Z31" s="213"/>
      <c r="AA31" s="213"/>
      <c r="AB31" s="156"/>
      <c r="AC31" s="157"/>
      <c r="AD31" s="213"/>
      <c r="AE31" s="213"/>
      <c r="AF31" s="213"/>
      <c r="AG31" s="213"/>
      <c r="AI31" s="205">
        <f t="shared" si="43"/>
        <v>0</v>
      </c>
      <c r="AJ31" s="205">
        <f t="shared" si="25"/>
        <v>0</v>
      </c>
      <c r="AK31" s="205">
        <f t="shared" si="26"/>
        <v>0</v>
      </c>
      <c r="AL31" s="205">
        <f t="shared" si="27"/>
        <v>0</v>
      </c>
      <c r="AM31" s="205">
        <f t="shared" si="28"/>
        <v>0</v>
      </c>
      <c r="AN31" s="205">
        <f t="shared" si="29"/>
        <v>0</v>
      </c>
      <c r="AO31" s="205">
        <f t="shared" si="30"/>
        <v>0</v>
      </c>
      <c r="AP31" s="205">
        <f t="shared" si="31"/>
        <v>0</v>
      </c>
      <c r="AQ31" s="205">
        <f t="shared" si="32"/>
        <v>0</v>
      </c>
      <c r="AR31" s="205">
        <f t="shared" si="33"/>
        <v>0</v>
      </c>
      <c r="AS31" s="205">
        <f t="shared" si="34"/>
        <v>0</v>
      </c>
      <c r="AT31" s="205">
        <f t="shared" si="35"/>
        <v>0</v>
      </c>
      <c r="AU31" s="205">
        <f t="shared" si="36"/>
        <v>0</v>
      </c>
      <c r="AV31" s="205">
        <f t="shared" si="37"/>
        <v>0</v>
      </c>
      <c r="AW31" s="205">
        <f t="shared" si="38"/>
        <v>0</v>
      </c>
      <c r="AX31" s="205">
        <f t="shared" si="39"/>
        <v>0</v>
      </c>
      <c r="AY31" s="205">
        <f t="shared" si="40"/>
        <v>0</v>
      </c>
      <c r="AZ31" s="205">
        <f t="shared" si="41"/>
        <v>0</v>
      </c>
      <c r="BA31" s="205">
        <f t="shared" si="42"/>
        <v>0</v>
      </c>
    </row>
    <row r="32" spans="1:53" ht="24" customHeight="1">
      <c r="A32" s="38">
        <v>1</v>
      </c>
      <c r="B32" s="38">
        <v>1</v>
      </c>
      <c r="C32" s="102">
        <v>301004</v>
      </c>
      <c r="D32" s="65" t="s">
        <v>162</v>
      </c>
      <c r="E32" s="99" t="s">
        <v>163</v>
      </c>
      <c r="F32" s="114">
        <v>0.3</v>
      </c>
      <c r="G32" s="115" t="s">
        <v>60</v>
      </c>
      <c r="H32" s="101"/>
      <c r="I32" s="101">
        <f t="shared" si="24"/>
        <v>0</v>
      </c>
      <c r="J32" s="65"/>
      <c r="K32" s="65"/>
      <c r="L32" s="66"/>
      <c r="M32" s="39"/>
      <c r="N32" s="39"/>
      <c r="O32" s="156">
        <v>0</v>
      </c>
      <c r="P32" s="157"/>
      <c r="Q32" s="287"/>
      <c r="R32" s="287"/>
      <c r="S32" s="287"/>
      <c r="T32" s="287"/>
      <c r="U32" s="287"/>
      <c r="V32" s="213"/>
      <c r="W32" s="213"/>
      <c r="X32" s="213"/>
      <c r="Y32" s="213"/>
      <c r="Z32" s="213"/>
      <c r="AA32" s="213"/>
      <c r="AB32" s="156"/>
      <c r="AC32" s="157"/>
      <c r="AD32" s="213"/>
      <c r="AE32" s="213"/>
      <c r="AF32" s="213"/>
      <c r="AG32" s="213"/>
      <c r="AI32" s="205">
        <f t="shared" si="43"/>
        <v>0</v>
      </c>
      <c r="AJ32" s="205">
        <f t="shared" si="25"/>
        <v>0</v>
      </c>
      <c r="AK32" s="205">
        <f t="shared" si="26"/>
        <v>0</v>
      </c>
      <c r="AL32" s="205">
        <f t="shared" si="27"/>
        <v>0</v>
      </c>
      <c r="AM32" s="205">
        <f t="shared" si="28"/>
        <v>0</v>
      </c>
      <c r="AN32" s="205">
        <f t="shared" si="29"/>
        <v>0</v>
      </c>
      <c r="AO32" s="205">
        <f t="shared" si="30"/>
        <v>0</v>
      </c>
      <c r="AP32" s="205">
        <f t="shared" si="31"/>
        <v>0</v>
      </c>
      <c r="AQ32" s="205">
        <f t="shared" si="32"/>
        <v>0</v>
      </c>
      <c r="AR32" s="205">
        <f t="shared" si="33"/>
        <v>0</v>
      </c>
      <c r="AS32" s="205">
        <f t="shared" si="34"/>
        <v>0</v>
      </c>
      <c r="AT32" s="205">
        <f t="shared" si="35"/>
        <v>0</v>
      </c>
      <c r="AU32" s="205">
        <f t="shared" si="36"/>
        <v>0</v>
      </c>
      <c r="AV32" s="205">
        <f t="shared" si="37"/>
        <v>0</v>
      </c>
      <c r="AW32" s="205">
        <f t="shared" si="38"/>
        <v>0</v>
      </c>
      <c r="AX32" s="205">
        <f t="shared" si="39"/>
        <v>0</v>
      </c>
      <c r="AY32" s="205">
        <f t="shared" si="40"/>
        <v>0</v>
      </c>
      <c r="AZ32" s="205">
        <f t="shared" si="41"/>
        <v>0</v>
      </c>
      <c r="BA32" s="205">
        <f t="shared" si="42"/>
        <v>0</v>
      </c>
    </row>
    <row r="33" spans="1:53" ht="24" customHeight="1">
      <c r="A33" s="38">
        <v>1</v>
      </c>
      <c r="B33" s="38">
        <v>1</v>
      </c>
      <c r="C33" s="102">
        <v>3045</v>
      </c>
      <c r="D33" s="65" t="s">
        <v>164</v>
      </c>
      <c r="E33" s="99" t="s">
        <v>165</v>
      </c>
      <c r="F33" s="114">
        <v>0.3</v>
      </c>
      <c r="G33" s="115" t="s">
        <v>60</v>
      </c>
      <c r="H33" s="101"/>
      <c r="I33" s="101">
        <f t="shared" si="24"/>
        <v>0</v>
      </c>
      <c r="J33" s="65"/>
      <c r="K33" s="65"/>
      <c r="L33" s="66"/>
      <c r="M33" s="39"/>
      <c r="N33" s="39"/>
      <c r="O33" s="156">
        <v>0</v>
      </c>
      <c r="P33" s="157"/>
      <c r="Q33" s="287"/>
      <c r="R33" s="287"/>
      <c r="S33" s="287"/>
      <c r="T33" s="287"/>
      <c r="U33" s="287"/>
      <c r="V33" s="213"/>
      <c r="W33" s="213"/>
      <c r="X33" s="213"/>
      <c r="Y33" s="213"/>
      <c r="Z33" s="213"/>
      <c r="AA33" s="213"/>
      <c r="AB33" s="156"/>
      <c r="AC33" s="157"/>
      <c r="AD33" s="213"/>
      <c r="AE33" s="213"/>
      <c r="AF33" s="213"/>
      <c r="AG33" s="213"/>
      <c r="AI33" s="205">
        <f t="shared" si="43"/>
        <v>0</v>
      </c>
      <c r="AJ33" s="205">
        <f t="shared" si="25"/>
        <v>0</v>
      </c>
      <c r="AK33" s="205">
        <f t="shared" si="26"/>
        <v>0</v>
      </c>
      <c r="AL33" s="205">
        <f t="shared" si="27"/>
        <v>0</v>
      </c>
      <c r="AM33" s="205">
        <f t="shared" si="28"/>
        <v>0</v>
      </c>
      <c r="AN33" s="205">
        <f t="shared" si="29"/>
        <v>0</v>
      </c>
      <c r="AO33" s="205">
        <f t="shared" si="30"/>
        <v>0</v>
      </c>
      <c r="AP33" s="205">
        <f t="shared" si="31"/>
        <v>0</v>
      </c>
      <c r="AQ33" s="205">
        <f t="shared" si="32"/>
        <v>0</v>
      </c>
      <c r="AR33" s="205">
        <f t="shared" si="33"/>
        <v>0</v>
      </c>
      <c r="AS33" s="205">
        <f t="shared" si="34"/>
        <v>0</v>
      </c>
      <c r="AT33" s="205">
        <f t="shared" si="35"/>
        <v>0</v>
      </c>
      <c r="AU33" s="205">
        <f t="shared" si="36"/>
        <v>0</v>
      </c>
      <c r="AV33" s="205">
        <f t="shared" si="37"/>
        <v>0</v>
      </c>
      <c r="AW33" s="205">
        <f t="shared" si="38"/>
        <v>0</v>
      </c>
      <c r="AX33" s="205">
        <f t="shared" si="39"/>
        <v>0</v>
      </c>
      <c r="AY33" s="205">
        <f t="shared" si="40"/>
        <v>0</v>
      </c>
      <c r="AZ33" s="205">
        <f t="shared" si="41"/>
        <v>0</v>
      </c>
      <c r="BA33" s="205">
        <f t="shared" si="42"/>
        <v>0</v>
      </c>
    </row>
    <row r="34" spans="1:53" ht="24" customHeight="1">
      <c r="A34" s="38">
        <v>1</v>
      </c>
      <c r="B34" s="38">
        <v>1</v>
      </c>
      <c r="C34" s="102">
        <v>102</v>
      </c>
      <c r="D34" s="65" t="s">
        <v>166</v>
      </c>
      <c r="E34" s="99" t="s">
        <v>72</v>
      </c>
      <c r="F34" s="114">
        <v>0.01</v>
      </c>
      <c r="G34" s="115" t="s">
        <v>167</v>
      </c>
      <c r="H34" s="101"/>
      <c r="I34" s="101">
        <f t="shared" si="24"/>
        <v>0</v>
      </c>
      <c r="J34" s="65"/>
      <c r="K34" s="65"/>
      <c r="L34" s="66"/>
      <c r="M34" s="39"/>
      <c r="N34" s="39"/>
      <c r="O34" s="156">
        <v>1000</v>
      </c>
      <c r="P34" s="157"/>
      <c r="Q34" s="287"/>
      <c r="R34" s="287"/>
      <c r="S34" s="287"/>
      <c r="T34" s="287"/>
      <c r="U34" s="287"/>
      <c r="V34" s="213"/>
      <c r="W34" s="213"/>
      <c r="X34" s="213"/>
      <c r="Y34" s="213"/>
      <c r="Z34" s="213"/>
      <c r="AA34" s="213"/>
      <c r="AB34" s="156"/>
      <c r="AC34" s="157"/>
      <c r="AD34" s="213"/>
      <c r="AE34" s="213"/>
      <c r="AF34" s="213"/>
      <c r="AG34" s="213"/>
      <c r="AI34" s="205">
        <f t="shared" si="43"/>
        <v>10</v>
      </c>
      <c r="AJ34" s="205">
        <f t="shared" si="25"/>
        <v>0</v>
      </c>
      <c r="AK34" s="205">
        <f t="shared" si="26"/>
        <v>0</v>
      </c>
      <c r="AL34" s="205">
        <f t="shared" si="27"/>
        <v>0</v>
      </c>
      <c r="AM34" s="205">
        <f t="shared" si="28"/>
        <v>0</v>
      </c>
      <c r="AN34" s="205">
        <f t="shared" si="29"/>
        <v>0</v>
      </c>
      <c r="AO34" s="205">
        <f t="shared" si="30"/>
        <v>0</v>
      </c>
      <c r="AP34" s="205">
        <f t="shared" si="31"/>
        <v>0</v>
      </c>
      <c r="AQ34" s="205">
        <f t="shared" si="32"/>
        <v>0</v>
      </c>
      <c r="AR34" s="205">
        <f t="shared" si="33"/>
        <v>0</v>
      </c>
      <c r="AS34" s="205">
        <f t="shared" si="34"/>
        <v>0</v>
      </c>
      <c r="AT34" s="205">
        <f t="shared" si="35"/>
        <v>0</v>
      </c>
      <c r="AU34" s="205">
        <f t="shared" si="36"/>
        <v>0</v>
      </c>
      <c r="AV34" s="205">
        <f t="shared" si="37"/>
        <v>0</v>
      </c>
      <c r="AW34" s="205">
        <f t="shared" si="38"/>
        <v>0</v>
      </c>
      <c r="AX34" s="205">
        <f t="shared" si="39"/>
        <v>0</v>
      </c>
      <c r="AY34" s="205">
        <f t="shared" si="40"/>
        <v>0</v>
      </c>
      <c r="AZ34" s="205">
        <f t="shared" si="41"/>
        <v>0</v>
      </c>
      <c r="BA34" s="205">
        <f t="shared" si="42"/>
        <v>0</v>
      </c>
    </row>
    <row r="35" spans="1:53" s="39" customFormat="1" ht="24" customHeight="1">
      <c r="A35" s="38">
        <v>1</v>
      </c>
      <c r="B35" s="38">
        <v>1</v>
      </c>
      <c r="C35" s="102">
        <v>411102</v>
      </c>
      <c r="D35" s="65" t="s">
        <v>168</v>
      </c>
      <c r="E35" s="99" t="s">
        <v>169</v>
      </c>
      <c r="F35" s="114">
        <v>0.01</v>
      </c>
      <c r="G35" s="115" t="s">
        <v>167</v>
      </c>
      <c r="H35" s="101"/>
      <c r="I35" s="101">
        <f t="shared" si="24"/>
        <v>0</v>
      </c>
      <c r="J35" s="65"/>
      <c r="K35" s="65"/>
      <c r="L35" s="66"/>
      <c r="O35" s="156">
        <v>0</v>
      </c>
      <c r="P35" s="157"/>
      <c r="Q35" s="287"/>
      <c r="R35" s="287"/>
      <c r="S35" s="287"/>
      <c r="T35" s="287"/>
      <c r="U35" s="287"/>
      <c r="V35" s="213"/>
      <c r="W35" s="213"/>
      <c r="X35" s="213"/>
      <c r="Y35" s="213"/>
      <c r="Z35" s="213"/>
      <c r="AA35" s="213"/>
      <c r="AB35" s="156"/>
      <c r="AC35" s="157"/>
      <c r="AD35" s="213"/>
      <c r="AE35" s="213"/>
      <c r="AF35" s="213"/>
      <c r="AG35" s="213"/>
      <c r="AI35" s="205">
        <f t="shared" si="43"/>
        <v>0</v>
      </c>
      <c r="AJ35" s="205">
        <f t="shared" si="25"/>
        <v>0</v>
      </c>
      <c r="AK35" s="205">
        <f t="shared" si="26"/>
        <v>0</v>
      </c>
      <c r="AL35" s="205">
        <f t="shared" si="27"/>
        <v>0</v>
      </c>
      <c r="AM35" s="205">
        <f t="shared" si="28"/>
        <v>0</v>
      </c>
      <c r="AN35" s="205">
        <f t="shared" si="29"/>
        <v>0</v>
      </c>
      <c r="AO35" s="205">
        <f t="shared" si="30"/>
        <v>0</v>
      </c>
      <c r="AP35" s="205">
        <f t="shared" si="31"/>
        <v>0</v>
      </c>
      <c r="AQ35" s="205">
        <f t="shared" si="32"/>
        <v>0</v>
      </c>
      <c r="AR35" s="205">
        <f t="shared" si="33"/>
        <v>0</v>
      </c>
      <c r="AS35" s="205">
        <f t="shared" si="34"/>
        <v>0</v>
      </c>
      <c r="AT35" s="205">
        <f t="shared" si="35"/>
        <v>0</v>
      </c>
      <c r="AU35" s="205">
        <f t="shared" si="36"/>
        <v>0</v>
      </c>
      <c r="AV35" s="205">
        <f t="shared" si="37"/>
        <v>0</v>
      </c>
      <c r="AW35" s="205">
        <f t="shared" si="38"/>
        <v>0</v>
      </c>
      <c r="AX35" s="205">
        <f t="shared" si="39"/>
        <v>0</v>
      </c>
      <c r="AY35" s="205">
        <f t="shared" si="40"/>
        <v>0</v>
      </c>
      <c r="AZ35" s="205">
        <f t="shared" si="41"/>
        <v>0</v>
      </c>
      <c r="BA35" s="205">
        <f t="shared" si="42"/>
        <v>0</v>
      </c>
    </row>
    <row r="36" spans="1:53" ht="24" customHeight="1">
      <c r="A36" s="38">
        <v>1</v>
      </c>
      <c r="B36" s="38">
        <v>1</v>
      </c>
      <c r="C36" s="102">
        <v>7022</v>
      </c>
      <c r="D36" s="65" t="s">
        <v>170</v>
      </c>
      <c r="E36" s="99" t="s">
        <v>171</v>
      </c>
      <c r="F36" s="114">
        <v>0.01</v>
      </c>
      <c r="G36" s="115" t="s">
        <v>167</v>
      </c>
      <c r="H36" s="101"/>
      <c r="I36" s="101">
        <f t="shared" si="24"/>
        <v>0</v>
      </c>
      <c r="J36" s="65"/>
      <c r="K36" s="65"/>
      <c r="L36" s="66"/>
      <c r="M36" s="39"/>
      <c r="N36" s="39"/>
      <c r="O36" s="156">
        <v>0</v>
      </c>
      <c r="P36" s="157"/>
      <c r="Q36" s="287"/>
      <c r="R36" s="287"/>
      <c r="S36" s="287"/>
      <c r="T36" s="287"/>
      <c r="U36" s="287"/>
      <c r="V36" s="213"/>
      <c r="W36" s="213"/>
      <c r="X36" s="213"/>
      <c r="Y36" s="213"/>
      <c r="Z36" s="213"/>
      <c r="AA36" s="213"/>
      <c r="AB36" s="156"/>
      <c r="AC36" s="157"/>
      <c r="AD36" s="213"/>
      <c r="AE36" s="213"/>
      <c r="AF36" s="213"/>
      <c r="AG36" s="213"/>
      <c r="AI36" s="205">
        <f t="shared" si="43"/>
        <v>0</v>
      </c>
      <c r="AJ36" s="205">
        <f t="shared" si="25"/>
        <v>0</v>
      </c>
      <c r="AK36" s="205">
        <f t="shared" si="26"/>
        <v>0</v>
      </c>
      <c r="AL36" s="205">
        <f t="shared" si="27"/>
        <v>0</v>
      </c>
      <c r="AM36" s="205">
        <f t="shared" si="28"/>
        <v>0</v>
      </c>
      <c r="AN36" s="205">
        <f t="shared" si="29"/>
        <v>0</v>
      </c>
      <c r="AO36" s="205">
        <f t="shared" si="30"/>
        <v>0</v>
      </c>
      <c r="AP36" s="205">
        <f t="shared" si="31"/>
        <v>0</v>
      </c>
      <c r="AQ36" s="205">
        <f t="shared" si="32"/>
        <v>0</v>
      </c>
      <c r="AR36" s="205">
        <f t="shared" si="33"/>
        <v>0</v>
      </c>
      <c r="AS36" s="205">
        <f t="shared" si="34"/>
        <v>0</v>
      </c>
      <c r="AT36" s="205">
        <f t="shared" si="35"/>
        <v>0</v>
      </c>
      <c r="AU36" s="205">
        <f t="shared" si="36"/>
        <v>0</v>
      </c>
      <c r="AV36" s="205">
        <f t="shared" si="37"/>
        <v>0</v>
      </c>
      <c r="AW36" s="205">
        <f t="shared" si="38"/>
        <v>0</v>
      </c>
      <c r="AX36" s="205">
        <f t="shared" si="39"/>
        <v>0</v>
      </c>
      <c r="AY36" s="205">
        <f t="shared" si="40"/>
        <v>0</v>
      </c>
      <c r="AZ36" s="205">
        <f t="shared" si="41"/>
        <v>0</v>
      </c>
      <c r="BA36" s="205">
        <f t="shared" si="42"/>
        <v>0</v>
      </c>
    </row>
    <row r="37" spans="1:53" ht="24" customHeight="1">
      <c r="A37" s="38">
        <v>1</v>
      </c>
      <c r="B37" s="38">
        <v>1</v>
      </c>
      <c r="C37" s="102">
        <v>518200</v>
      </c>
      <c r="D37" s="65" t="s">
        <v>172</v>
      </c>
      <c r="E37" s="218" t="s">
        <v>189</v>
      </c>
      <c r="F37" s="114">
        <v>0.2</v>
      </c>
      <c r="G37" s="115" t="s">
        <v>60</v>
      </c>
      <c r="H37" s="101"/>
      <c r="I37" s="101">
        <f t="shared" si="24"/>
        <v>0</v>
      </c>
      <c r="J37" s="65" t="s">
        <v>173</v>
      </c>
      <c r="K37" s="65"/>
      <c r="L37" s="66"/>
      <c r="M37" s="39"/>
      <c r="N37" s="39"/>
      <c r="O37" s="156">
        <v>2300</v>
      </c>
      <c r="P37" s="157"/>
      <c r="Q37" s="287"/>
      <c r="R37" s="287"/>
      <c r="S37" s="287"/>
      <c r="T37" s="287"/>
      <c r="U37" s="287"/>
      <c r="V37" s="213"/>
      <c r="W37" s="213"/>
      <c r="X37" s="213"/>
      <c r="Y37" s="213"/>
      <c r="Z37" s="213"/>
      <c r="AA37" s="213"/>
      <c r="AB37" s="156"/>
      <c r="AC37" s="157"/>
      <c r="AD37" s="213"/>
      <c r="AE37" s="213"/>
      <c r="AF37" s="213"/>
      <c r="AG37" s="213"/>
      <c r="AI37" s="205">
        <f t="shared" si="43"/>
        <v>460</v>
      </c>
      <c r="AJ37" s="205">
        <f t="shared" si="25"/>
        <v>0</v>
      </c>
      <c r="AK37" s="205">
        <f t="shared" si="26"/>
        <v>0</v>
      </c>
      <c r="AL37" s="205">
        <f t="shared" si="27"/>
        <v>0</v>
      </c>
      <c r="AM37" s="205">
        <f t="shared" si="28"/>
        <v>0</v>
      </c>
      <c r="AN37" s="205">
        <f t="shared" si="29"/>
        <v>0</v>
      </c>
      <c r="AO37" s="205">
        <f t="shared" si="30"/>
        <v>0</v>
      </c>
      <c r="AP37" s="205">
        <f t="shared" si="31"/>
        <v>0</v>
      </c>
      <c r="AQ37" s="205">
        <f t="shared" si="32"/>
        <v>0</v>
      </c>
      <c r="AR37" s="205">
        <f t="shared" si="33"/>
        <v>0</v>
      </c>
      <c r="AS37" s="205">
        <f t="shared" si="34"/>
        <v>0</v>
      </c>
      <c r="AT37" s="205">
        <f t="shared" si="35"/>
        <v>0</v>
      </c>
      <c r="AU37" s="205">
        <f t="shared" si="36"/>
        <v>0</v>
      </c>
      <c r="AV37" s="205">
        <f t="shared" si="37"/>
        <v>0</v>
      </c>
      <c r="AW37" s="205">
        <f t="shared" si="38"/>
        <v>0</v>
      </c>
      <c r="AX37" s="205">
        <f t="shared" si="39"/>
        <v>0</v>
      </c>
      <c r="AY37" s="205">
        <f t="shared" si="40"/>
        <v>0</v>
      </c>
      <c r="AZ37" s="205">
        <f t="shared" si="41"/>
        <v>0</v>
      </c>
      <c r="BA37" s="205">
        <f t="shared" si="42"/>
        <v>0</v>
      </c>
    </row>
    <row r="38" spans="1:53" s="39" customFormat="1" ht="24" customHeight="1">
      <c r="A38" s="38">
        <v>1</v>
      </c>
      <c r="B38" s="38">
        <v>1</v>
      </c>
      <c r="C38" s="102">
        <v>5008</v>
      </c>
      <c r="D38" s="65" t="s">
        <v>174</v>
      </c>
      <c r="E38" s="99" t="s">
        <v>175</v>
      </c>
      <c r="F38" s="114">
        <v>0.2</v>
      </c>
      <c r="G38" s="115" t="s">
        <v>60</v>
      </c>
      <c r="H38" s="101"/>
      <c r="I38" s="101">
        <f t="shared" si="24"/>
        <v>0</v>
      </c>
      <c r="J38" s="65"/>
      <c r="K38" s="65"/>
      <c r="L38" s="66"/>
      <c r="O38" s="156">
        <v>0</v>
      </c>
      <c r="P38" s="157"/>
      <c r="Q38" s="287"/>
      <c r="R38" s="287"/>
      <c r="S38" s="287"/>
      <c r="T38" s="287"/>
      <c r="U38" s="287"/>
      <c r="V38" s="213"/>
      <c r="W38" s="213"/>
      <c r="X38" s="213"/>
      <c r="Y38" s="213"/>
      <c r="Z38" s="213"/>
      <c r="AA38" s="213"/>
      <c r="AB38" s="156"/>
      <c r="AC38" s="157"/>
      <c r="AD38" s="213"/>
      <c r="AE38" s="213"/>
      <c r="AF38" s="213"/>
      <c r="AG38" s="213"/>
      <c r="AI38" s="205">
        <f t="shared" si="43"/>
        <v>0</v>
      </c>
      <c r="AJ38" s="205">
        <f t="shared" si="25"/>
        <v>0</v>
      </c>
      <c r="AK38" s="205">
        <f t="shared" si="26"/>
        <v>0</v>
      </c>
      <c r="AL38" s="205">
        <f t="shared" si="27"/>
        <v>0</v>
      </c>
      <c r="AM38" s="205">
        <f t="shared" si="28"/>
        <v>0</v>
      </c>
      <c r="AN38" s="205">
        <f t="shared" si="29"/>
        <v>0</v>
      </c>
      <c r="AO38" s="205">
        <f t="shared" si="30"/>
        <v>0</v>
      </c>
      <c r="AP38" s="205">
        <f t="shared" si="31"/>
        <v>0</v>
      </c>
      <c r="AQ38" s="205">
        <f t="shared" si="32"/>
        <v>0</v>
      </c>
      <c r="AR38" s="205">
        <f t="shared" si="33"/>
        <v>0</v>
      </c>
      <c r="AS38" s="205">
        <f t="shared" si="34"/>
        <v>0</v>
      </c>
      <c r="AT38" s="205">
        <f t="shared" si="35"/>
        <v>0</v>
      </c>
      <c r="AU38" s="205">
        <f t="shared" si="36"/>
        <v>0</v>
      </c>
      <c r="AV38" s="205">
        <f t="shared" si="37"/>
        <v>0</v>
      </c>
      <c r="AW38" s="205">
        <f t="shared" si="38"/>
        <v>0</v>
      </c>
      <c r="AX38" s="205">
        <f t="shared" si="39"/>
        <v>0</v>
      </c>
      <c r="AY38" s="205">
        <f t="shared" si="40"/>
        <v>0</v>
      </c>
      <c r="AZ38" s="205">
        <f t="shared" si="41"/>
        <v>0</v>
      </c>
      <c r="BA38" s="205">
        <f t="shared" si="42"/>
        <v>0</v>
      </c>
    </row>
    <row r="39" spans="1:53" ht="24" customHeight="1">
      <c r="A39" s="38">
        <v>1</v>
      </c>
      <c r="B39" s="38">
        <v>1</v>
      </c>
      <c r="C39" s="102">
        <v>6001</v>
      </c>
      <c r="D39" s="65" t="s">
        <v>176</v>
      </c>
      <c r="E39" s="99" t="s">
        <v>175</v>
      </c>
      <c r="F39" s="114">
        <v>0.2</v>
      </c>
      <c r="G39" s="115" t="s">
        <v>143</v>
      </c>
      <c r="H39" s="101"/>
      <c r="I39" s="101">
        <f t="shared" si="24"/>
        <v>0</v>
      </c>
      <c r="J39" s="65"/>
      <c r="K39" s="65"/>
      <c r="L39" s="66"/>
      <c r="M39" s="39"/>
      <c r="N39" s="39"/>
      <c r="O39" s="156">
        <v>36</v>
      </c>
      <c r="P39" s="157"/>
      <c r="Q39" s="287"/>
      <c r="R39" s="287"/>
      <c r="S39" s="287"/>
      <c r="T39" s="287"/>
      <c r="U39" s="287"/>
      <c r="V39" s="213"/>
      <c r="W39" s="213"/>
      <c r="X39" s="213"/>
      <c r="Y39" s="213"/>
      <c r="Z39" s="213"/>
      <c r="AA39" s="213"/>
      <c r="AB39" s="156"/>
      <c r="AC39" s="157"/>
      <c r="AD39" s="213"/>
      <c r="AE39" s="213"/>
      <c r="AF39" s="213"/>
      <c r="AG39" s="213"/>
      <c r="AI39" s="205">
        <f t="shared" si="43"/>
        <v>7.2</v>
      </c>
      <c r="AJ39" s="205">
        <f t="shared" si="25"/>
        <v>0</v>
      </c>
      <c r="AK39" s="205">
        <f t="shared" si="26"/>
        <v>0</v>
      </c>
      <c r="AL39" s="205">
        <f t="shared" si="27"/>
        <v>0</v>
      </c>
      <c r="AM39" s="205">
        <f t="shared" si="28"/>
        <v>0</v>
      </c>
      <c r="AN39" s="205">
        <f t="shared" si="29"/>
        <v>0</v>
      </c>
      <c r="AO39" s="205">
        <f t="shared" si="30"/>
        <v>0</v>
      </c>
      <c r="AP39" s="205">
        <f t="shared" si="31"/>
        <v>0</v>
      </c>
      <c r="AQ39" s="205">
        <f t="shared" si="32"/>
        <v>0</v>
      </c>
      <c r="AR39" s="205">
        <f t="shared" si="33"/>
        <v>0</v>
      </c>
      <c r="AS39" s="205">
        <f t="shared" si="34"/>
        <v>0</v>
      </c>
      <c r="AT39" s="205">
        <f t="shared" si="35"/>
        <v>0</v>
      </c>
      <c r="AU39" s="205">
        <f t="shared" si="36"/>
        <v>0</v>
      </c>
      <c r="AV39" s="205">
        <f t="shared" si="37"/>
        <v>0</v>
      </c>
      <c r="AW39" s="205">
        <f t="shared" si="38"/>
        <v>0</v>
      </c>
      <c r="AX39" s="205">
        <f t="shared" si="39"/>
        <v>0</v>
      </c>
      <c r="AY39" s="205">
        <f t="shared" si="40"/>
        <v>0</v>
      </c>
      <c r="AZ39" s="205">
        <f t="shared" si="41"/>
        <v>0</v>
      </c>
      <c r="BA39" s="205">
        <f t="shared" si="42"/>
        <v>0</v>
      </c>
    </row>
    <row r="40" spans="1:53" s="39" customFormat="1" ht="24" customHeight="1">
      <c r="A40" s="38">
        <v>1</v>
      </c>
      <c r="B40" s="38">
        <v>1</v>
      </c>
      <c r="C40" s="102">
        <v>6020</v>
      </c>
      <c r="D40" s="65" t="s">
        <v>227</v>
      </c>
      <c r="E40" s="99" t="s">
        <v>181</v>
      </c>
      <c r="F40" s="114">
        <v>0.2</v>
      </c>
      <c r="G40" s="115" t="s">
        <v>182</v>
      </c>
      <c r="H40" s="101"/>
      <c r="I40" s="101">
        <f t="shared" si="24"/>
        <v>0</v>
      </c>
      <c r="J40" s="65" t="s">
        <v>183</v>
      </c>
      <c r="K40" s="65"/>
      <c r="L40" s="66"/>
      <c r="O40" s="156">
        <v>0</v>
      </c>
      <c r="P40" s="157"/>
      <c r="Q40" s="287"/>
      <c r="R40" s="287"/>
      <c r="S40" s="287"/>
      <c r="T40" s="287"/>
      <c r="U40" s="287"/>
      <c r="V40" s="213"/>
      <c r="W40" s="213"/>
      <c r="X40" s="213"/>
      <c r="Y40" s="213"/>
      <c r="Z40" s="213"/>
      <c r="AA40" s="213"/>
      <c r="AB40" s="156"/>
      <c r="AC40" s="157"/>
      <c r="AD40" s="213"/>
      <c r="AE40" s="213"/>
      <c r="AF40" s="213"/>
      <c r="AG40" s="213"/>
      <c r="AI40" s="205">
        <f t="shared" si="43"/>
        <v>0</v>
      </c>
      <c r="AJ40" s="205">
        <f t="shared" si="25"/>
        <v>0</v>
      </c>
      <c r="AK40" s="205">
        <f t="shared" si="26"/>
        <v>0</v>
      </c>
      <c r="AL40" s="205">
        <f t="shared" si="27"/>
        <v>0</v>
      </c>
      <c r="AM40" s="205">
        <f t="shared" si="28"/>
        <v>0</v>
      </c>
      <c r="AN40" s="205">
        <f t="shared" si="29"/>
        <v>0</v>
      </c>
      <c r="AO40" s="205">
        <f t="shared" si="30"/>
        <v>0</v>
      </c>
      <c r="AP40" s="205">
        <f t="shared" si="31"/>
        <v>0</v>
      </c>
      <c r="AQ40" s="205">
        <f t="shared" si="32"/>
        <v>0</v>
      </c>
      <c r="AR40" s="205">
        <f t="shared" si="33"/>
        <v>0</v>
      </c>
      <c r="AS40" s="205">
        <f t="shared" si="34"/>
        <v>0</v>
      </c>
      <c r="AT40" s="205">
        <f t="shared" si="35"/>
        <v>0</v>
      </c>
      <c r="AU40" s="205">
        <f t="shared" si="36"/>
        <v>0</v>
      </c>
      <c r="AV40" s="205">
        <f t="shared" si="37"/>
        <v>0</v>
      </c>
      <c r="AW40" s="205">
        <f t="shared" si="38"/>
        <v>0</v>
      </c>
      <c r="AX40" s="205">
        <f t="shared" si="39"/>
        <v>0</v>
      </c>
      <c r="AY40" s="205">
        <f t="shared" si="40"/>
        <v>0</v>
      </c>
      <c r="AZ40" s="205">
        <f t="shared" si="41"/>
        <v>0</v>
      </c>
      <c r="BA40" s="205">
        <f t="shared" si="42"/>
        <v>0</v>
      </c>
    </row>
    <row r="41" spans="1:53" s="39" customFormat="1" ht="24" customHeight="1">
      <c r="A41" s="38"/>
      <c r="B41" s="38"/>
      <c r="C41" s="124"/>
      <c r="D41" s="187"/>
      <c r="E41" s="114"/>
      <c r="F41" s="114"/>
      <c r="G41" s="115"/>
      <c r="H41" s="131"/>
      <c r="I41" s="101" t="str">
        <f>IF(F41="","",ROUNDDOWN(F41*H41,0))</f>
        <v/>
      </c>
      <c r="J41" s="64"/>
      <c r="K41" s="65"/>
      <c r="L41" s="66"/>
      <c r="O41" s="156"/>
      <c r="P41" s="157"/>
      <c r="Q41" s="287"/>
      <c r="R41" s="287"/>
      <c r="S41" s="287"/>
      <c r="T41" s="287"/>
      <c r="U41" s="287"/>
      <c r="V41" s="213"/>
      <c r="W41" s="213"/>
      <c r="X41" s="213"/>
      <c r="Y41" s="213"/>
      <c r="Z41" s="213"/>
      <c r="AA41" s="213"/>
      <c r="AB41" s="156"/>
      <c r="AC41" s="157"/>
      <c r="AD41" s="213"/>
      <c r="AE41" s="213"/>
      <c r="AF41" s="213"/>
      <c r="AG41" s="213"/>
      <c r="AI41" s="205">
        <f t="shared" si="43"/>
        <v>0</v>
      </c>
      <c r="AJ41" s="205">
        <f t="shared" si="25"/>
        <v>0</v>
      </c>
      <c r="AK41" s="205">
        <f t="shared" si="26"/>
        <v>0</v>
      </c>
      <c r="AL41" s="205">
        <f t="shared" si="27"/>
        <v>0</v>
      </c>
      <c r="AM41" s="205">
        <f t="shared" si="28"/>
        <v>0</v>
      </c>
      <c r="AN41" s="205">
        <f t="shared" si="29"/>
        <v>0</v>
      </c>
      <c r="AO41" s="205">
        <f t="shared" si="30"/>
        <v>0</v>
      </c>
      <c r="AP41" s="205">
        <f t="shared" si="31"/>
        <v>0</v>
      </c>
      <c r="AQ41" s="205">
        <f t="shared" si="32"/>
        <v>0</v>
      </c>
      <c r="AR41" s="205">
        <f t="shared" si="33"/>
        <v>0</v>
      </c>
      <c r="AS41" s="205">
        <f t="shared" si="34"/>
        <v>0</v>
      </c>
      <c r="AT41" s="205">
        <f t="shared" si="35"/>
        <v>0</v>
      </c>
      <c r="AU41" s="205">
        <f t="shared" si="36"/>
        <v>0</v>
      </c>
      <c r="AV41" s="205">
        <f t="shared" si="37"/>
        <v>0</v>
      </c>
      <c r="AW41" s="205">
        <f t="shared" si="38"/>
        <v>0</v>
      </c>
      <c r="AX41" s="205">
        <f t="shared" si="39"/>
        <v>0</v>
      </c>
      <c r="AY41" s="205">
        <f t="shared" si="40"/>
        <v>0</v>
      </c>
      <c r="AZ41" s="205">
        <f t="shared" si="41"/>
        <v>0</v>
      </c>
      <c r="BA41" s="205">
        <f t="shared" si="42"/>
        <v>0</v>
      </c>
    </row>
    <row r="42" spans="1:53" s="39" customFormat="1" ht="24" customHeight="1">
      <c r="A42" s="38"/>
      <c r="B42" s="38"/>
      <c r="C42" s="124"/>
      <c r="D42" s="125" t="s">
        <v>177</v>
      </c>
      <c r="E42" s="114"/>
      <c r="F42" s="114"/>
      <c r="G42" s="115"/>
      <c r="H42" s="131"/>
      <c r="I42" s="101" t="str">
        <f>IF(F42="","",ROUNDDOWN(F42*H42,0))</f>
        <v/>
      </c>
      <c r="J42" s="64"/>
      <c r="K42" s="65"/>
      <c r="L42" s="66"/>
      <c r="O42" s="156"/>
      <c r="P42" s="157"/>
      <c r="Q42" s="287"/>
      <c r="R42" s="287"/>
      <c r="S42" s="287"/>
      <c r="T42" s="287"/>
      <c r="U42" s="287"/>
      <c r="V42" s="213"/>
      <c r="W42" s="213"/>
      <c r="X42" s="213"/>
      <c r="Y42" s="213"/>
      <c r="Z42" s="213"/>
      <c r="AA42" s="213"/>
      <c r="AB42" s="156"/>
      <c r="AC42" s="157"/>
      <c r="AD42" s="213"/>
      <c r="AE42" s="213"/>
      <c r="AF42" s="213"/>
      <c r="AG42" s="213"/>
      <c r="AI42" s="205">
        <f t="shared" si="43"/>
        <v>0</v>
      </c>
      <c r="AJ42" s="205">
        <f t="shared" si="25"/>
        <v>0</v>
      </c>
      <c r="AK42" s="205">
        <f t="shared" si="26"/>
        <v>0</v>
      </c>
      <c r="AL42" s="205">
        <f t="shared" si="27"/>
        <v>0</v>
      </c>
      <c r="AM42" s="205">
        <f t="shared" si="28"/>
        <v>0</v>
      </c>
      <c r="AN42" s="205">
        <f t="shared" si="29"/>
        <v>0</v>
      </c>
      <c r="AO42" s="205">
        <f t="shared" si="30"/>
        <v>0</v>
      </c>
      <c r="AP42" s="205">
        <f t="shared" si="31"/>
        <v>0</v>
      </c>
      <c r="AQ42" s="205">
        <f t="shared" si="32"/>
        <v>0</v>
      </c>
      <c r="AR42" s="205">
        <f t="shared" si="33"/>
        <v>0</v>
      </c>
      <c r="AS42" s="205">
        <f t="shared" si="34"/>
        <v>0</v>
      </c>
      <c r="AT42" s="205">
        <f t="shared" si="35"/>
        <v>0</v>
      </c>
      <c r="AU42" s="205">
        <f t="shared" si="36"/>
        <v>0</v>
      </c>
      <c r="AV42" s="205">
        <f t="shared" si="37"/>
        <v>0</v>
      </c>
      <c r="AW42" s="205">
        <f t="shared" si="38"/>
        <v>0</v>
      </c>
      <c r="AX42" s="205">
        <f t="shared" si="39"/>
        <v>0</v>
      </c>
      <c r="AY42" s="205">
        <f t="shared" si="40"/>
        <v>0</v>
      </c>
      <c r="AZ42" s="205">
        <f t="shared" si="41"/>
        <v>0</v>
      </c>
      <c r="BA42" s="205">
        <f t="shared" si="42"/>
        <v>0</v>
      </c>
    </row>
    <row r="43" spans="1:53" s="39" customFormat="1" ht="24" customHeight="1">
      <c r="A43" s="38"/>
      <c r="B43" s="38"/>
      <c r="C43" s="124"/>
      <c r="D43" s="125" t="s">
        <v>178</v>
      </c>
      <c r="E43" s="100" t="s">
        <v>188</v>
      </c>
      <c r="F43" s="100"/>
      <c r="G43" s="115"/>
      <c r="H43" s="131"/>
      <c r="I43" s="101" t="str">
        <f>IF(F43="","",ROUNDDOWN(F43*H43,0))</f>
        <v/>
      </c>
      <c r="J43" s="64"/>
      <c r="K43" s="65"/>
      <c r="L43" s="66"/>
      <c r="O43" s="156"/>
      <c r="P43" s="157"/>
      <c r="Q43" s="287"/>
      <c r="R43" s="287"/>
      <c r="S43" s="287"/>
      <c r="T43" s="287"/>
      <c r="U43" s="287"/>
      <c r="V43" s="213"/>
      <c r="W43" s="213"/>
      <c r="X43" s="213"/>
      <c r="Y43" s="213"/>
      <c r="Z43" s="213"/>
      <c r="AA43" s="213"/>
      <c r="AB43" s="156"/>
      <c r="AC43" s="157"/>
      <c r="AD43" s="213"/>
      <c r="AE43" s="213"/>
      <c r="AF43" s="213"/>
      <c r="AG43" s="213"/>
      <c r="AI43" s="205">
        <f t="shared" si="43"/>
        <v>0</v>
      </c>
      <c r="AJ43" s="205">
        <f t="shared" si="25"/>
        <v>0</v>
      </c>
      <c r="AK43" s="205">
        <f t="shared" si="26"/>
        <v>0</v>
      </c>
      <c r="AL43" s="205">
        <f t="shared" si="27"/>
        <v>0</v>
      </c>
      <c r="AM43" s="205">
        <f t="shared" si="28"/>
        <v>0</v>
      </c>
      <c r="AN43" s="205">
        <f t="shared" si="29"/>
        <v>0</v>
      </c>
      <c r="AO43" s="205">
        <f t="shared" si="30"/>
        <v>0</v>
      </c>
      <c r="AP43" s="205">
        <f t="shared" si="31"/>
        <v>0</v>
      </c>
      <c r="AQ43" s="205">
        <f t="shared" si="32"/>
        <v>0</v>
      </c>
      <c r="AR43" s="205">
        <f t="shared" si="33"/>
        <v>0</v>
      </c>
      <c r="AS43" s="205">
        <f t="shared" si="34"/>
        <v>0</v>
      </c>
      <c r="AT43" s="205">
        <f t="shared" si="35"/>
        <v>0</v>
      </c>
      <c r="AU43" s="205">
        <f t="shared" si="36"/>
        <v>0</v>
      </c>
      <c r="AV43" s="205">
        <f t="shared" si="37"/>
        <v>0</v>
      </c>
      <c r="AW43" s="205">
        <f t="shared" si="38"/>
        <v>0</v>
      </c>
      <c r="AX43" s="205">
        <f t="shared" si="39"/>
        <v>0</v>
      </c>
      <c r="AY43" s="205">
        <f t="shared" si="40"/>
        <v>0</v>
      </c>
      <c r="AZ43" s="205">
        <f t="shared" si="41"/>
        <v>0</v>
      </c>
      <c r="BA43" s="205">
        <f t="shared" si="42"/>
        <v>0</v>
      </c>
    </row>
    <row r="44" spans="1:53" s="39" customFormat="1" ht="24" customHeight="1">
      <c r="A44" s="38"/>
      <c r="B44" s="38"/>
      <c r="C44" s="124"/>
      <c r="D44" s="125" t="s">
        <v>179</v>
      </c>
      <c r="E44" s="114"/>
      <c r="F44" s="114"/>
      <c r="G44" s="115"/>
      <c r="H44" s="131"/>
      <c r="I44" s="101" t="str">
        <f>IF(F44="","",ROUNDDOWN(F44*H44,0))</f>
        <v/>
      </c>
      <c r="J44" s="64"/>
      <c r="K44" s="65"/>
      <c r="L44" s="66"/>
      <c r="O44" s="156"/>
      <c r="P44" s="157"/>
      <c r="Q44" s="287"/>
      <c r="R44" s="287"/>
      <c r="S44" s="287"/>
      <c r="T44" s="287"/>
      <c r="U44" s="287"/>
      <c r="V44" s="213"/>
      <c r="W44" s="213"/>
      <c r="X44" s="213"/>
      <c r="Y44" s="213"/>
      <c r="Z44" s="213"/>
      <c r="AA44" s="213"/>
      <c r="AB44" s="156"/>
      <c r="AC44" s="157"/>
      <c r="AD44" s="213"/>
      <c r="AE44" s="213"/>
      <c r="AF44" s="213"/>
      <c r="AG44" s="213"/>
      <c r="AI44" s="205">
        <f t="shared" si="43"/>
        <v>0</v>
      </c>
      <c r="AJ44" s="205">
        <f t="shared" si="25"/>
        <v>0</v>
      </c>
      <c r="AK44" s="205">
        <f t="shared" si="26"/>
        <v>0</v>
      </c>
      <c r="AL44" s="205">
        <f t="shared" si="27"/>
        <v>0</v>
      </c>
      <c r="AM44" s="205">
        <f t="shared" si="28"/>
        <v>0</v>
      </c>
      <c r="AN44" s="205">
        <f t="shared" si="29"/>
        <v>0</v>
      </c>
      <c r="AO44" s="205">
        <f t="shared" si="30"/>
        <v>0</v>
      </c>
      <c r="AP44" s="205">
        <f t="shared" si="31"/>
        <v>0</v>
      </c>
      <c r="AQ44" s="205">
        <f t="shared" si="32"/>
        <v>0</v>
      </c>
      <c r="AR44" s="205">
        <f t="shared" si="33"/>
        <v>0</v>
      </c>
      <c r="AS44" s="205">
        <f t="shared" si="34"/>
        <v>0</v>
      </c>
      <c r="AT44" s="205">
        <f t="shared" si="35"/>
        <v>0</v>
      </c>
      <c r="AU44" s="205">
        <f t="shared" si="36"/>
        <v>0</v>
      </c>
      <c r="AV44" s="205">
        <f t="shared" si="37"/>
        <v>0</v>
      </c>
      <c r="AW44" s="205">
        <f t="shared" si="38"/>
        <v>0</v>
      </c>
      <c r="AX44" s="205">
        <f t="shared" si="39"/>
        <v>0</v>
      </c>
      <c r="AY44" s="205">
        <f t="shared" si="40"/>
        <v>0</v>
      </c>
      <c r="AZ44" s="205">
        <f t="shared" si="41"/>
        <v>0</v>
      </c>
      <c r="BA44" s="205">
        <f t="shared" si="42"/>
        <v>0</v>
      </c>
    </row>
    <row r="45" spans="1:53" s="39" customFormat="1" ht="24" customHeight="1">
      <c r="A45" s="38"/>
      <c r="B45" s="38"/>
      <c r="C45" s="124"/>
      <c r="D45" s="125" t="s">
        <v>180</v>
      </c>
      <c r="E45" s="100" t="s">
        <v>190</v>
      </c>
      <c r="F45" s="114"/>
      <c r="G45" s="115"/>
      <c r="H45" s="131"/>
      <c r="I45" s="101" t="str">
        <f>IF(F45="","",ROUNDDOWN(F45*H45,0))</f>
        <v/>
      </c>
      <c r="J45" s="64"/>
      <c r="K45" s="65"/>
      <c r="L45" s="66"/>
      <c r="O45" s="156"/>
      <c r="P45" s="157"/>
      <c r="Q45" s="287"/>
      <c r="R45" s="287"/>
      <c r="S45" s="287"/>
      <c r="T45" s="287"/>
      <c r="U45" s="287"/>
      <c r="V45" s="213"/>
      <c r="W45" s="213"/>
      <c r="X45" s="213"/>
      <c r="Y45" s="213"/>
      <c r="Z45" s="213"/>
      <c r="AA45" s="213"/>
      <c r="AB45" s="156"/>
      <c r="AC45" s="157"/>
      <c r="AD45" s="213"/>
      <c r="AE45" s="213"/>
      <c r="AF45" s="213"/>
      <c r="AG45" s="213"/>
      <c r="AI45" s="205">
        <f t="shared" si="43"/>
        <v>0</v>
      </c>
      <c r="AJ45" s="205">
        <f t="shared" si="25"/>
        <v>0</v>
      </c>
      <c r="AK45" s="205">
        <f t="shared" si="26"/>
        <v>0</v>
      </c>
      <c r="AL45" s="205">
        <f t="shared" si="27"/>
        <v>0</v>
      </c>
      <c r="AM45" s="205">
        <f t="shared" si="28"/>
        <v>0</v>
      </c>
      <c r="AN45" s="205">
        <f t="shared" si="29"/>
        <v>0</v>
      </c>
      <c r="AO45" s="205">
        <f t="shared" si="30"/>
        <v>0</v>
      </c>
      <c r="AP45" s="205">
        <f t="shared" si="31"/>
        <v>0</v>
      </c>
      <c r="AQ45" s="205">
        <f t="shared" si="32"/>
        <v>0</v>
      </c>
      <c r="AR45" s="205">
        <f t="shared" si="33"/>
        <v>0</v>
      </c>
      <c r="AS45" s="205">
        <f t="shared" si="34"/>
        <v>0</v>
      </c>
      <c r="AT45" s="205">
        <f t="shared" si="35"/>
        <v>0</v>
      </c>
      <c r="AU45" s="205">
        <f t="shared" si="36"/>
        <v>0</v>
      </c>
      <c r="AV45" s="205">
        <f t="shared" si="37"/>
        <v>0</v>
      </c>
      <c r="AW45" s="205">
        <f t="shared" si="38"/>
        <v>0</v>
      </c>
      <c r="AX45" s="205">
        <f t="shared" si="39"/>
        <v>0</v>
      </c>
      <c r="AY45" s="205">
        <f t="shared" si="40"/>
        <v>0</v>
      </c>
      <c r="AZ45" s="205">
        <f t="shared" si="41"/>
        <v>0</v>
      </c>
      <c r="BA45" s="205">
        <f t="shared" si="42"/>
        <v>0</v>
      </c>
    </row>
    <row r="46" spans="1:53" s="39" customFormat="1" ht="24" customHeight="1">
      <c r="A46" s="38"/>
      <c r="B46" s="38"/>
      <c r="C46" s="124"/>
      <c r="D46" s="125"/>
      <c r="E46" s="100" t="s">
        <v>191</v>
      </c>
      <c r="F46" s="114"/>
      <c r="G46" s="115"/>
      <c r="H46" s="131"/>
      <c r="I46" s="101"/>
      <c r="J46" s="64"/>
      <c r="K46" s="65"/>
      <c r="L46" s="66"/>
      <c r="O46" s="156"/>
      <c r="P46" s="157"/>
      <c r="Q46" s="287"/>
      <c r="R46" s="287"/>
      <c r="S46" s="287"/>
      <c r="T46" s="287"/>
      <c r="U46" s="287"/>
      <c r="V46" s="213"/>
      <c r="W46" s="213"/>
      <c r="X46" s="213"/>
      <c r="Y46" s="213"/>
      <c r="Z46" s="213"/>
      <c r="AA46" s="213"/>
      <c r="AB46" s="156"/>
      <c r="AC46" s="157"/>
      <c r="AD46" s="213"/>
      <c r="AE46" s="213"/>
      <c r="AF46" s="213"/>
      <c r="AG46" s="213"/>
      <c r="AI46" s="205">
        <f t="shared" si="43"/>
        <v>0</v>
      </c>
      <c r="AJ46" s="205">
        <f t="shared" si="25"/>
        <v>0</v>
      </c>
      <c r="AK46" s="205">
        <f t="shared" si="26"/>
        <v>0</v>
      </c>
      <c r="AL46" s="205">
        <f t="shared" si="27"/>
        <v>0</v>
      </c>
      <c r="AM46" s="205">
        <f t="shared" si="28"/>
        <v>0</v>
      </c>
      <c r="AN46" s="205">
        <f t="shared" si="29"/>
        <v>0</v>
      </c>
      <c r="AO46" s="205">
        <f t="shared" si="30"/>
        <v>0</v>
      </c>
      <c r="AP46" s="205">
        <f t="shared" si="31"/>
        <v>0</v>
      </c>
      <c r="AQ46" s="205">
        <f t="shared" si="32"/>
        <v>0</v>
      </c>
      <c r="AR46" s="205">
        <f t="shared" si="33"/>
        <v>0</v>
      </c>
      <c r="AS46" s="205">
        <f t="shared" si="34"/>
        <v>0</v>
      </c>
      <c r="AT46" s="205">
        <f t="shared" si="35"/>
        <v>0</v>
      </c>
      <c r="AU46" s="205">
        <f t="shared" si="36"/>
        <v>0</v>
      </c>
      <c r="AV46" s="205">
        <f t="shared" si="37"/>
        <v>0</v>
      </c>
      <c r="AW46" s="205">
        <f t="shared" si="38"/>
        <v>0</v>
      </c>
      <c r="AX46" s="205">
        <f t="shared" si="39"/>
        <v>0</v>
      </c>
      <c r="AY46" s="205">
        <f t="shared" si="40"/>
        <v>0</v>
      </c>
      <c r="AZ46" s="205">
        <f t="shared" si="41"/>
        <v>0</v>
      </c>
      <c r="BA46" s="205">
        <f t="shared" si="42"/>
        <v>0</v>
      </c>
    </row>
    <row r="47" spans="1:53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88</v>
      </c>
      <c r="I47" s="207">
        <f>SUM(I29:I46)</f>
        <v>0</v>
      </c>
      <c r="J47" s="92" t="s">
        <v>89</v>
      </c>
      <c r="K47" s="92"/>
      <c r="L47" s="119"/>
      <c r="N47"/>
      <c r="O47" s="288">
        <f t="shared" ref="O47:AG47" si="44">AI47</f>
        <v>477.2</v>
      </c>
      <c r="P47" s="289">
        <f t="shared" si="44"/>
        <v>0</v>
      </c>
      <c r="Q47" s="290">
        <f t="shared" si="44"/>
        <v>0</v>
      </c>
      <c r="R47" s="290">
        <f t="shared" si="44"/>
        <v>0</v>
      </c>
      <c r="S47" s="290">
        <f t="shared" si="44"/>
        <v>0</v>
      </c>
      <c r="T47" s="290">
        <f t="shared" si="44"/>
        <v>0</v>
      </c>
      <c r="U47" s="290">
        <f t="shared" si="44"/>
        <v>0</v>
      </c>
      <c r="V47" s="291">
        <f t="shared" si="44"/>
        <v>0</v>
      </c>
      <c r="W47" s="291">
        <f t="shared" si="44"/>
        <v>0</v>
      </c>
      <c r="X47" s="291">
        <f t="shared" si="44"/>
        <v>0</v>
      </c>
      <c r="Y47" s="291">
        <f t="shared" si="44"/>
        <v>0</v>
      </c>
      <c r="Z47" s="291">
        <f t="shared" si="44"/>
        <v>0</v>
      </c>
      <c r="AA47" s="291">
        <f t="shared" si="44"/>
        <v>0</v>
      </c>
      <c r="AB47" s="288">
        <f t="shared" si="44"/>
        <v>0</v>
      </c>
      <c r="AC47" s="289">
        <f t="shared" si="44"/>
        <v>0</v>
      </c>
      <c r="AD47" s="291">
        <f t="shared" si="44"/>
        <v>0</v>
      </c>
      <c r="AE47" s="291">
        <f t="shared" si="44"/>
        <v>0</v>
      </c>
      <c r="AF47" s="291">
        <f t="shared" si="44"/>
        <v>0</v>
      </c>
      <c r="AG47" s="291">
        <f t="shared" si="44"/>
        <v>0</v>
      </c>
      <c r="AI47" s="206">
        <f t="shared" ref="AI47:BA47" si="45">SUM(AI29:AI46)</f>
        <v>477.2</v>
      </c>
      <c r="AJ47" s="206">
        <f t="shared" si="45"/>
        <v>0</v>
      </c>
      <c r="AK47" s="206">
        <f t="shared" si="45"/>
        <v>0</v>
      </c>
      <c r="AL47" s="206">
        <f t="shared" si="45"/>
        <v>0</v>
      </c>
      <c r="AM47" s="206">
        <f t="shared" si="45"/>
        <v>0</v>
      </c>
      <c r="AN47" s="206">
        <f t="shared" si="45"/>
        <v>0</v>
      </c>
      <c r="AO47" s="206">
        <f t="shared" si="45"/>
        <v>0</v>
      </c>
      <c r="AP47" s="206">
        <f t="shared" si="45"/>
        <v>0</v>
      </c>
      <c r="AQ47" s="206">
        <f t="shared" si="45"/>
        <v>0</v>
      </c>
      <c r="AR47" s="206">
        <f t="shared" si="45"/>
        <v>0</v>
      </c>
      <c r="AS47" s="206">
        <f t="shared" si="45"/>
        <v>0</v>
      </c>
      <c r="AT47" s="206">
        <f t="shared" si="45"/>
        <v>0</v>
      </c>
      <c r="AU47" s="206">
        <f t="shared" si="45"/>
        <v>0</v>
      </c>
      <c r="AV47" s="206">
        <f t="shared" si="45"/>
        <v>0</v>
      </c>
      <c r="AW47" s="206">
        <f t="shared" si="45"/>
        <v>0</v>
      </c>
      <c r="AX47" s="206">
        <f t="shared" si="45"/>
        <v>0</v>
      </c>
      <c r="AY47" s="206">
        <f t="shared" si="45"/>
        <v>0</v>
      </c>
      <c r="AZ47" s="206">
        <f t="shared" si="45"/>
        <v>0</v>
      </c>
      <c r="BA47" s="206">
        <f t="shared" si="45"/>
        <v>0</v>
      </c>
    </row>
    <row r="48" spans="1:53" ht="14.25" customHeight="1">
      <c r="E48" s="120" t="s">
        <v>86</v>
      </c>
      <c r="F48" s="121">
        <f>+F25+1</f>
        <v>2</v>
      </c>
      <c r="G48" s="122" t="s">
        <v>87</v>
      </c>
      <c r="H48" s="123">
        <f>+H25</f>
        <v>2</v>
      </c>
      <c r="I48" s="123"/>
      <c r="M48" s="33" t="str">
        <f>IF(A50="","EOL","")</f>
        <v>EOL</v>
      </c>
      <c r="N48" s="1">
        <f>+F48</f>
        <v>2</v>
      </c>
    </row>
  </sheetData>
  <mergeCells count="8">
    <mergeCell ref="O3:AG3"/>
    <mergeCell ref="O26:AG26"/>
    <mergeCell ref="C26:L26"/>
    <mergeCell ref="J27:L27"/>
    <mergeCell ref="J28:L28"/>
    <mergeCell ref="J5:L5"/>
    <mergeCell ref="C3:L3"/>
    <mergeCell ref="J4:L4"/>
  </mergeCells>
  <phoneticPr fontId="2"/>
  <printOptions horizontalCentered="1" verticalCentered="1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colBreaks count="1" manualBreakCount="1">
    <brk id="12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Q27"/>
  <sheetViews>
    <sheetView zoomScale="85" zoomScaleNormal="85" workbookViewId="0">
      <selection activeCell="N2" sqref="N2:O2"/>
    </sheetView>
  </sheetViews>
  <sheetFormatPr baseColWidth="10" defaultColWidth="9" defaultRowHeight="20" customHeight="1"/>
  <cols>
    <col min="1" max="1" width="6.1640625" style="214" customWidth="1"/>
    <col min="2" max="3" width="4.1640625" style="214" customWidth="1"/>
    <col min="4" max="4" width="24" style="215" customWidth="1"/>
    <col min="5" max="5" width="21.1640625" style="215" customWidth="1"/>
    <col min="6" max="6" width="4.6640625" style="215" customWidth="1"/>
    <col min="7" max="7" width="4.33203125" style="214" customWidth="1"/>
    <col min="8" max="15" width="9.1640625" style="216" customWidth="1"/>
    <col min="16" max="16" width="9.1640625" style="215" bestFit="1" customWidth="1"/>
    <col min="17" max="17" width="5.83203125" style="215" customWidth="1"/>
    <col min="18" max="20" width="10.6640625" style="215" customWidth="1"/>
    <col min="21" max="16384" width="9" style="215"/>
  </cols>
  <sheetData>
    <row r="1" spans="1:17" s="20" customFormat="1" ht="20" customHeight="1" thickBot="1">
      <c r="A1" s="2749" t="s">
        <v>2991</v>
      </c>
      <c r="B1" s="2749"/>
      <c r="C1" s="2749"/>
      <c r="D1" s="2749"/>
      <c r="E1" s="2749"/>
      <c r="F1" s="2749"/>
      <c r="G1" s="2749"/>
      <c r="H1" s="2749"/>
      <c r="I1" s="2749"/>
      <c r="J1" s="2749"/>
      <c r="K1" s="2749"/>
      <c r="L1" s="2749"/>
      <c r="M1" s="2749"/>
      <c r="N1" s="24" t="s">
        <v>85</v>
      </c>
      <c r="O1" s="217">
        <v>1</v>
      </c>
      <c r="P1" s="20" t="s">
        <v>62</v>
      </c>
      <c r="Q1" s="1">
        <f>VLOOKUP("EOL",$N$27:$O$65536,2,FALSE)</f>
        <v>1</v>
      </c>
    </row>
    <row r="2" spans="1:17" s="24" customFormat="1" ht="20" customHeight="1">
      <c r="A2" s="21"/>
      <c r="B2" s="22" t="s">
        <v>16</v>
      </c>
      <c r="C2" s="23" t="s">
        <v>18</v>
      </c>
      <c r="D2" s="23"/>
      <c r="E2" s="75"/>
      <c r="F2" s="55"/>
      <c r="G2" s="70"/>
      <c r="H2" s="2750" t="s">
        <v>2993</v>
      </c>
      <c r="I2" s="2751"/>
      <c r="J2" s="2751" t="s">
        <v>2994</v>
      </c>
      <c r="K2" s="2752"/>
      <c r="L2" s="2751" t="s">
        <v>25</v>
      </c>
      <c r="M2" s="2753"/>
      <c r="N2" s="2747" t="str">
        <f>IF(G53="",IF(O26=I26,H2,IF(O26=K26,J2,L2)),N29)</f>
        <v>A:㈱佐渡島</v>
      </c>
      <c r="O2" s="2748"/>
    </row>
    <row r="3" spans="1:17" s="24" customFormat="1" ht="20" customHeight="1" thickBot="1">
      <c r="A3" s="25" t="s">
        <v>26</v>
      </c>
      <c r="B3" s="26" t="s">
        <v>17</v>
      </c>
      <c r="C3" s="27" t="s">
        <v>17</v>
      </c>
      <c r="D3" s="27" t="s">
        <v>19</v>
      </c>
      <c r="E3" s="76" t="s">
        <v>20</v>
      </c>
      <c r="F3" s="56" t="s">
        <v>21</v>
      </c>
      <c r="G3" s="71" t="s">
        <v>22</v>
      </c>
      <c r="H3" s="467" t="s">
        <v>23</v>
      </c>
      <c r="I3" s="468" t="s">
        <v>24</v>
      </c>
      <c r="J3" s="469" t="s">
        <v>23</v>
      </c>
      <c r="K3" s="468" t="s">
        <v>24</v>
      </c>
      <c r="L3" s="469" t="s">
        <v>23</v>
      </c>
      <c r="M3" s="468" t="s">
        <v>24</v>
      </c>
      <c r="N3" s="467" t="s">
        <v>27</v>
      </c>
      <c r="O3" s="470" t="s">
        <v>28</v>
      </c>
    </row>
    <row r="4" spans="1:17" s="20" customFormat="1" ht="20" customHeight="1">
      <c r="A4" s="52"/>
      <c r="B4" s="84"/>
      <c r="C4" s="85"/>
      <c r="D4" s="67"/>
      <c r="E4" s="77"/>
      <c r="F4" s="57"/>
      <c r="G4" s="72"/>
      <c r="H4" s="471"/>
      <c r="I4" s="472" t="str">
        <f t="shared" ref="I4:I25" si="0">IF(H4="","",ROUNDDOWN(H4*F4,0))</f>
        <v/>
      </c>
      <c r="J4" s="473"/>
      <c r="K4" s="472" t="str">
        <f t="shared" ref="K4:K25" si="1">IF(J4="","",ROUNDDOWN(J4*$F4,0))</f>
        <v/>
      </c>
      <c r="L4" s="473"/>
      <c r="M4" s="474" t="str">
        <f t="shared" ref="M4:M25" si="2">IF(L4="","",ROUNDDOWN(L4*$F4,0))</f>
        <v/>
      </c>
      <c r="N4" s="471" t="str">
        <f>IF(F4="","",INT(HLOOKUP(N2,H2:M25,3,FALSE)*O1))</f>
        <v/>
      </c>
      <c r="O4" s="475" t="str">
        <f>IF(N4="","",IF(N4&lt;10,INT(N4),IF(N4&lt;10000,ROUNDDOWN(N4,-1),ROUNDDOWN(N4,-2))))</f>
        <v/>
      </c>
    </row>
    <row r="5" spans="1:17" s="20" customFormat="1" ht="20" customHeight="1">
      <c r="A5" s="53"/>
      <c r="B5" s="86"/>
      <c r="C5" s="87"/>
      <c r="D5" s="68" t="s">
        <v>2992</v>
      </c>
      <c r="E5" s="78"/>
      <c r="F5" s="59"/>
      <c r="G5" s="73"/>
      <c r="H5" s="476"/>
      <c r="I5" s="477" t="str">
        <f t="shared" si="0"/>
        <v/>
      </c>
      <c r="J5" s="478"/>
      <c r="K5" s="477" t="str">
        <f t="shared" si="1"/>
        <v/>
      </c>
      <c r="L5" s="478"/>
      <c r="M5" s="479" t="str">
        <f t="shared" si="2"/>
        <v/>
      </c>
      <c r="N5" s="476" t="str">
        <f>IF(F5="","",INT(HLOOKUP(N2,H2:M25,4,FALSE)*O1))</f>
        <v/>
      </c>
      <c r="O5" s="480" t="str">
        <f t="shared" ref="O5:O25" si="3">IF(N5="","",IF(N5&lt;10,INT(N5),IF(N5&lt;10000,ROUNDDOWN(N5,-1),ROUNDDOWN(N5,-2))))</f>
        <v/>
      </c>
    </row>
    <row r="6" spans="1:17" s="20" customFormat="1" ht="20" customHeight="1">
      <c r="A6" s="53">
        <v>200</v>
      </c>
      <c r="B6" s="86">
        <v>4</v>
      </c>
      <c r="C6" s="87">
        <v>4</v>
      </c>
      <c r="D6" s="68" t="s">
        <v>3021</v>
      </c>
      <c r="E6" s="78" t="s">
        <v>2996</v>
      </c>
      <c r="F6" s="59">
        <v>10</v>
      </c>
      <c r="G6" s="73" t="s">
        <v>2995</v>
      </c>
      <c r="H6" s="476">
        <v>330000</v>
      </c>
      <c r="I6" s="477">
        <f t="shared" si="0"/>
        <v>3300000</v>
      </c>
      <c r="J6" s="478"/>
      <c r="K6" s="477" t="str">
        <f t="shared" si="1"/>
        <v/>
      </c>
      <c r="L6" s="478"/>
      <c r="M6" s="479" t="str">
        <f t="shared" si="2"/>
        <v/>
      </c>
      <c r="N6" s="476">
        <f>IF(F6="","",INT(HLOOKUP(N2,H2:M25,5,FALSE)*O1))</f>
        <v>330000</v>
      </c>
      <c r="O6" s="480">
        <f t="shared" si="3"/>
        <v>330000</v>
      </c>
    </row>
    <row r="7" spans="1:17" s="20" customFormat="1" ht="20" customHeight="1">
      <c r="A7" s="53"/>
      <c r="B7" s="86"/>
      <c r="C7" s="87"/>
      <c r="D7" s="68" t="s">
        <v>3022</v>
      </c>
      <c r="E7" s="78" t="s">
        <v>2999</v>
      </c>
      <c r="F7" s="59"/>
      <c r="G7" s="73"/>
      <c r="H7" s="476"/>
      <c r="I7" s="477" t="str">
        <f t="shared" si="0"/>
        <v/>
      </c>
      <c r="J7" s="478"/>
      <c r="K7" s="477" t="str">
        <f t="shared" si="1"/>
        <v/>
      </c>
      <c r="L7" s="478"/>
      <c r="M7" s="479" t="str">
        <f t="shared" si="2"/>
        <v/>
      </c>
      <c r="N7" s="476" t="str">
        <f>IF(F7="","",INT(HLOOKUP(N2,H2:M25,6,FALSE)*O1))</f>
        <v/>
      </c>
      <c r="O7" s="480" t="str">
        <f t="shared" si="3"/>
        <v/>
      </c>
    </row>
    <row r="8" spans="1:17" s="20" customFormat="1" ht="20" customHeight="1">
      <c r="A8" s="53"/>
      <c r="B8" s="86"/>
      <c r="C8" s="87"/>
      <c r="D8" s="68"/>
      <c r="E8" s="78" t="s">
        <v>2997</v>
      </c>
      <c r="F8" s="59"/>
      <c r="G8" s="73"/>
      <c r="H8" s="476"/>
      <c r="I8" s="477" t="str">
        <f t="shared" si="0"/>
        <v/>
      </c>
      <c r="J8" s="478"/>
      <c r="K8" s="477" t="str">
        <f t="shared" si="1"/>
        <v/>
      </c>
      <c r="L8" s="478"/>
      <c r="M8" s="479" t="str">
        <f t="shared" si="2"/>
        <v/>
      </c>
      <c r="N8" s="476" t="str">
        <f>IF(F8="","",INT(HLOOKUP(N2,H2:M25,7,FALSE)*O1))</f>
        <v/>
      </c>
      <c r="O8" s="480" t="str">
        <f t="shared" si="3"/>
        <v/>
      </c>
    </row>
    <row r="9" spans="1:17" s="20" customFormat="1" ht="20" customHeight="1">
      <c r="A9" s="53"/>
      <c r="B9" s="86"/>
      <c r="C9" s="87"/>
      <c r="D9" s="68"/>
      <c r="E9" s="78" t="s">
        <v>3029</v>
      </c>
      <c r="F9" s="59"/>
      <c r="G9" s="73"/>
      <c r="H9" s="476"/>
      <c r="I9" s="477" t="str">
        <f t="shared" si="0"/>
        <v/>
      </c>
      <c r="J9" s="478"/>
      <c r="K9" s="477" t="str">
        <f t="shared" si="1"/>
        <v/>
      </c>
      <c r="L9" s="478"/>
      <c r="M9" s="479" t="str">
        <f t="shared" si="2"/>
        <v/>
      </c>
      <c r="N9" s="476" t="str">
        <f>IF(F9="","",INT(HLOOKUP(N2,H2:M25,8,FALSE)*O1))</f>
        <v/>
      </c>
      <c r="O9" s="480" t="str">
        <f t="shared" si="3"/>
        <v/>
      </c>
    </row>
    <row r="10" spans="1:17" s="20" customFormat="1" ht="20" customHeight="1">
      <c r="A10" s="53"/>
      <c r="B10" s="86"/>
      <c r="C10" s="87"/>
      <c r="D10" s="68"/>
      <c r="E10" s="78" t="s">
        <v>2998</v>
      </c>
      <c r="F10" s="59"/>
      <c r="G10" s="73"/>
      <c r="H10" s="476"/>
      <c r="I10" s="477" t="str">
        <f t="shared" si="0"/>
        <v/>
      </c>
      <c r="J10" s="478"/>
      <c r="K10" s="477" t="str">
        <f t="shared" si="1"/>
        <v/>
      </c>
      <c r="L10" s="478"/>
      <c r="M10" s="479" t="str">
        <f t="shared" si="2"/>
        <v/>
      </c>
      <c r="N10" s="476" t="str">
        <f>IF(F10="","",INT(HLOOKUP(N2,H2:M25,9,FALSE)*O1))</f>
        <v/>
      </c>
      <c r="O10" s="480" t="str">
        <f t="shared" si="3"/>
        <v/>
      </c>
    </row>
    <row r="11" spans="1:17" s="20" customFormat="1" ht="20" customHeight="1">
      <c r="A11" s="53"/>
      <c r="B11" s="86"/>
      <c r="C11" s="87"/>
      <c r="D11" s="68"/>
      <c r="E11" s="78" t="s">
        <v>3000</v>
      </c>
      <c r="F11" s="59"/>
      <c r="G11" s="73"/>
      <c r="H11" s="476"/>
      <c r="I11" s="477" t="str">
        <f t="shared" si="0"/>
        <v/>
      </c>
      <c r="J11" s="478"/>
      <c r="K11" s="477" t="str">
        <f t="shared" si="1"/>
        <v/>
      </c>
      <c r="L11" s="478"/>
      <c r="M11" s="479" t="str">
        <f t="shared" si="2"/>
        <v/>
      </c>
      <c r="N11" s="476" t="str">
        <f>IF(F11="","",INT(HLOOKUP(N2,H2:M25,10,FALSE)*O1))</f>
        <v/>
      </c>
      <c r="O11" s="480" t="str">
        <f t="shared" si="3"/>
        <v/>
      </c>
    </row>
    <row r="12" spans="1:17" s="20" customFormat="1" ht="20" customHeight="1">
      <c r="A12" s="53"/>
      <c r="B12" s="86"/>
      <c r="C12" s="87"/>
      <c r="D12" s="68"/>
      <c r="E12" s="78"/>
      <c r="F12" s="59"/>
      <c r="G12" s="73"/>
      <c r="H12" s="476"/>
      <c r="I12" s="477" t="str">
        <f t="shared" si="0"/>
        <v/>
      </c>
      <c r="J12" s="478"/>
      <c r="K12" s="477" t="str">
        <f t="shared" si="1"/>
        <v/>
      </c>
      <c r="L12" s="478"/>
      <c r="M12" s="479" t="str">
        <f t="shared" si="2"/>
        <v/>
      </c>
      <c r="N12" s="476" t="str">
        <f>IF(F12="","",INT(HLOOKUP(N2,H2:M25,11,FALSE)*O1))</f>
        <v/>
      </c>
      <c r="O12" s="480" t="str">
        <f t="shared" si="3"/>
        <v/>
      </c>
    </row>
    <row r="13" spans="1:17" s="20" customFormat="1" ht="20" customHeight="1">
      <c r="A13" s="53"/>
      <c r="B13" s="86"/>
      <c r="C13" s="87"/>
      <c r="D13" s="68"/>
      <c r="E13" s="78"/>
      <c r="F13" s="59"/>
      <c r="G13" s="73"/>
      <c r="H13" s="476"/>
      <c r="I13" s="477" t="str">
        <f t="shared" si="0"/>
        <v/>
      </c>
      <c r="J13" s="478"/>
      <c r="K13" s="477" t="str">
        <f t="shared" si="1"/>
        <v/>
      </c>
      <c r="L13" s="478"/>
      <c r="M13" s="479" t="str">
        <f t="shared" si="2"/>
        <v/>
      </c>
      <c r="N13" s="476" t="str">
        <f>IF(F13="","",INT(HLOOKUP(N2,H2:M25,12,FALSE)*O1))</f>
        <v/>
      </c>
      <c r="O13" s="480" t="str">
        <f t="shared" si="3"/>
        <v/>
      </c>
    </row>
    <row r="14" spans="1:17" s="20" customFormat="1" ht="20" customHeight="1">
      <c r="A14" s="53"/>
      <c r="B14" s="86"/>
      <c r="C14" s="87"/>
      <c r="D14" s="68"/>
      <c r="E14" s="78"/>
      <c r="F14" s="59"/>
      <c r="G14" s="73"/>
      <c r="H14" s="476"/>
      <c r="I14" s="477" t="str">
        <f t="shared" si="0"/>
        <v/>
      </c>
      <c r="J14" s="478"/>
      <c r="K14" s="477" t="str">
        <f t="shared" si="1"/>
        <v/>
      </c>
      <c r="L14" s="478"/>
      <c r="M14" s="479" t="str">
        <f t="shared" si="2"/>
        <v/>
      </c>
      <c r="N14" s="476" t="str">
        <f>IF(F14="","",INT(HLOOKUP(N2,H2:M25,13,FALSE)*O1))</f>
        <v/>
      </c>
      <c r="O14" s="480" t="str">
        <f t="shared" si="3"/>
        <v/>
      </c>
    </row>
    <row r="15" spans="1:17" s="20" customFormat="1" ht="20" customHeight="1">
      <c r="A15" s="53"/>
      <c r="B15" s="86"/>
      <c r="C15" s="87"/>
      <c r="D15" s="68"/>
      <c r="E15" s="78"/>
      <c r="F15" s="59"/>
      <c r="G15" s="73"/>
      <c r="H15" s="476"/>
      <c r="I15" s="477" t="str">
        <f t="shared" si="0"/>
        <v/>
      </c>
      <c r="J15" s="478"/>
      <c r="K15" s="477" t="str">
        <f t="shared" si="1"/>
        <v/>
      </c>
      <c r="L15" s="478"/>
      <c r="M15" s="479" t="str">
        <f t="shared" si="2"/>
        <v/>
      </c>
      <c r="N15" s="476" t="str">
        <f>IF(F15="","",INT(HLOOKUP(N2,H2:M25,14,FALSE)*O1))</f>
        <v/>
      </c>
      <c r="O15" s="480" t="str">
        <f t="shared" si="3"/>
        <v/>
      </c>
    </row>
    <row r="16" spans="1:17" s="20" customFormat="1" ht="20" customHeight="1">
      <c r="A16" s="53"/>
      <c r="B16" s="86"/>
      <c r="C16" s="87"/>
      <c r="D16" s="68"/>
      <c r="E16" s="78"/>
      <c r="F16" s="59"/>
      <c r="G16" s="73"/>
      <c r="H16" s="476"/>
      <c r="I16" s="477" t="str">
        <f t="shared" si="0"/>
        <v/>
      </c>
      <c r="J16" s="478"/>
      <c r="K16" s="477" t="str">
        <f t="shared" si="1"/>
        <v/>
      </c>
      <c r="L16" s="478"/>
      <c r="M16" s="479" t="str">
        <f t="shared" si="2"/>
        <v/>
      </c>
      <c r="N16" s="476" t="str">
        <f>IF(F16="","",INT(HLOOKUP(N2,H2:M25,15,FALSE)*O1))</f>
        <v/>
      </c>
      <c r="O16" s="480" t="str">
        <f t="shared" si="3"/>
        <v/>
      </c>
    </row>
    <row r="17" spans="1:15" s="20" customFormat="1" ht="20" customHeight="1">
      <c r="A17" s="53"/>
      <c r="B17" s="86"/>
      <c r="C17" s="87"/>
      <c r="D17" s="68"/>
      <c r="E17" s="78"/>
      <c r="F17" s="59"/>
      <c r="G17" s="73"/>
      <c r="H17" s="476"/>
      <c r="I17" s="477" t="str">
        <f t="shared" si="0"/>
        <v/>
      </c>
      <c r="J17" s="478"/>
      <c r="K17" s="477" t="str">
        <f t="shared" si="1"/>
        <v/>
      </c>
      <c r="L17" s="478"/>
      <c r="M17" s="479" t="str">
        <f t="shared" si="2"/>
        <v/>
      </c>
      <c r="N17" s="476" t="str">
        <f>IF(F17="","",INT(HLOOKUP(N2,H2:M25,16,FALSE)*O1))</f>
        <v/>
      </c>
      <c r="O17" s="480" t="str">
        <f t="shared" si="3"/>
        <v/>
      </c>
    </row>
    <row r="18" spans="1:15" s="20" customFormat="1" ht="20" customHeight="1">
      <c r="A18" s="53"/>
      <c r="B18" s="86"/>
      <c r="C18" s="87"/>
      <c r="D18" s="68"/>
      <c r="E18" s="78"/>
      <c r="F18" s="59"/>
      <c r="G18" s="73"/>
      <c r="H18" s="476"/>
      <c r="I18" s="477" t="str">
        <f t="shared" si="0"/>
        <v/>
      </c>
      <c r="J18" s="478"/>
      <c r="K18" s="477" t="str">
        <f t="shared" si="1"/>
        <v/>
      </c>
      <c r="L18" s="478"/>
      <c r="M18" s="479" t="str">
        <f t="shared" si="2"/>
        <v/>
      </c>
      <c r="N18" s="476" t="str">
        <f>IF(F18="","",INT(HLOOKUP(N2,H2:M25,17,FALSE)*O1))</f>
        <v/>
      </c>
      <c r="O18" s="480" t="str">
        <f t="shared" si="3"/>
        <v/>
      </c>
    </row>
    <row r="19" spans="1:15" s="20" customFormat="1" ht="20" customHeight="1">
      <c r="A19" s="53"/>
      <c r="B19" s="86"/>
      <c r="C19" s="87"/>
      <c r="D19" s="68"/>
      <c r="E19" s="78"/>
      <c r="F19" s="59"/>
      <c r="G19" s="73"/>
      <c r="H19" s="476"/>
      <c r="I19" s="477" t="str">
        <f t="shared" si="0"/>
        <v/>
      </c>
      <c r="J19" s="478"/>
      <c r="K19" s="477" t="str">
        <f t="shared" si="1"/>
        <v/>
      </c>
      <c r="L19" s="478"/>
      <c r="M19" s="479" t="str">
        <f t="shared" si="2"/>
        <v/>
      </c>
      <c r="N19" s="476" t="str">
        <f>IF(F19="","",INT(HLOOKUP(N2,H2:M25,18,FALSE)*O1))</f>
        <v/>
      </c>
      <c r="O19" s="480" t="str">
        <f t="shared" si="3"/>
        <v/>
      </c>
    </row>
    <row r="20" spans="1:15" s="20" customFormat="1" ht="20" customHeight="1">
      <c r="A20" s="53"/>
      <c r="B20" s="86"/>
      <c r="C20" s="87"/>
      <c r="D20" s="68"/>
      <c r="E20" s="78"/>
      <c r="F20" s="59"/>
      <c r="G20" s="73"/>
      <c r="H20" s="476"/>
      <c r="I20" s="477" t="str">
        <f t="shared" si="0"/>
        <v/>
      </c>
      <c r="J20" s="478"/>
      <c r="K20" s="477" t="str">
        <f t="shared" si="1"/>
        <v/>
      </c>
      <c r="L20" s="478"/>
      <c r="M20" s="479" t="str">
        <f t="shared" si="2"/>
        <v/>
      </c>
      <c r="N20" s="476" t="str">
        <f>IF(F20="","",INT(HLOOKUP(N2,H2:M25,19,FALSE)*O1))</f>
        <v/>
      </c>
      <c r="O20" s="480" t="str">
        <f t="shared" si="3"/>
        <v/>
      </c>
    </row>
    <row r="21" spans="1:15" s="20" customFormat="1" ht="20" customHeight="1">
      <c r="A21" s="53"/>
      <c r="B21" s="86"/>
      <c r="C21" s="87"/>
      <c r="D21" s="68"/>
      <c r="E21" s="78"/>
      <c r="F21" s="59"/>
      <c r="G21" s="73"/>
      <c r="H21" s="476"/>
      <c r="I21" s="477" t="str">
        <f t="shared" si="0"/>
        <v/>
      </c>
      <c r="J21" s="478"/>
      <c r="K21" s="477" t="str">
        <f t="shared" si="1"/>
        <v/>
      </c>
      <c r="L21" s="478"/>
      <c r="M21" s="479" t="str">
        <f t="shared" si="2"/>
        <v/>
      </c>
      <c r="N21" s="476" t="str">
        <f>IF(F21="","",INT(HLOOKUP(N2,H2:M25,20,FALSE)*O1))</f>
        <v/>
      </c>
      <c r="O21" s="480" t="str">
        <f t="shared" si="3"/>
        <v/>
      </c>
    </row>
    <row r="22" spans="1:15" s="20" customFormat="1" ht="20" customHeight="1">
      <c r="A22" s="53"/>
      <c r="B22" s="86"/>
      <c r="C22" s="87"/>
      <c r="D22" s="68"/>
      <c r="E22" s="78"/>
      <c r="F22" s="59"/>
      <c r="G22" s="73"/>
      <c r="H22" s="476"/>
      <c r="I22" s="477" t="str">
        <f t="shared" si="0"/>
        <v/>
      </c>
      <c r="J22" s="478"/>
      <c r="K22" s="477" t="str">
        <f t="shared" si="1"/>
        <v/>
      </c>
      <c r="L22" s="478"/>
      <c r="M22" s="479" t="str">
        <f t="shared" si="2"/>
        <v/>
      </c>
      <c r="N22" s="476" t="str">
        <f>IF(F22="","",INT(HLOOKUP(N2,H2:M25,21,FALSE)*O1))</f>
        <v/>
      </c>
      <c r="O22" s="480" t="str">
        <f t="shared" si="3"/>
        <v/>
      </c>
    </row>
    <row r="23" spans="1:15" s="20" customFormat="1" ht="20" customHeight="1">
      <c r="A23" s="53"/>
      <c r="B23" s="86"/>
      <c r="C23" s="87"/>
      <c r="D23" s="68"/>
      <c r="E23" s="78"/>
      <c r="F23" s="59"/>
      <c r="G23" s="73"/>
      <c r="H23" s="476"/>
      <c r="I23" s="477" t="str">
        <f t="shared" si="0"/>
        <v/>
      </c>
      <c r="J23" s="478"/>
      <c r="K23" s="477" t="str">
        <f t="shared" si="1"/>
        <v/>
      </c>
      <c r="L23" s="478"/>
      <c r="M23" s="479" t="str">
        <f t="shared" si="2"/>
        <v/>
      </c>
      <c r="N23" s="476" t="str">
        <f>IF(F23="","",INT(HLOOKUP(N2,H2:M25,22,FALSE)*O1))</f>
        <v/>
      </c>
      <c r="O23" s="480" t="str">
        <f t="shared" si="3"/>
        <v/>
      </c>
    </row>
    <row r="24" spans="1:15" s="20" customFormat="1" ht="20" customHeight="1">
      <c r="A24" s="53"/>
      <c r="B24" s="86"/>
      <c r="C24" s="87"/>
      <c r="D24" s="68"/>
      <c r="E24" s="78"/>
      <c r="F24" s="59"/>
      <c r="G24" s="73"/>
      <c r="H24" s="476"/>
      <c r="I24" s="477" t="str">
        <f t="shared" si="0"/>
        <v/>
      </c>
      <c r="J24" s="478"/>
      <c r="K24" s="477" t="str">
        <f t="shared" si="1"/>
        <v/>
      </c>
      <c r="L24" s="478"/>
      <c r="M24" s="479" t="str">
        <f t="shared" si="2"/>
        <v/>
      </c>
      <c r="N24" s="476" t="str">
        <f>IF(F24="","",INT(HLOOKUP(N2,H2:M25,23,FALSE)*O1))</f>
        <v/>
      </c>
      <c r="O24" s="480" t="str">
        <f t="shared" si="3"/>
        <v/>
      </c>
    </row>
    <row r="25" spans="1:15" s="20" customFormat="1" ht="20" customHeight="1" thickBot="1">
      <c r="A25" s="54"/>
      <c r="B25" s="88"/>
      <c r="C25" s="89"/>
      <c r="D25" s="69"/>
      <c r="E25" s="79"/>
      <c r="F25" s="60"/>
      <c r="G25" s="74"/>
      <c r="H25" s="481"/>
      <c r="I25" s="482" t="str">
        <f t="shared" si="0"/>
        <v/>
      </c>
      <c r="J25" s="483"/>
      <c r="K25" s="482" t="str">
        <f t="shared" si="1"/>
        <v/>
      </c>
      <c r="L25" s="483"/>
      <c r="M25" s="484" t="str">
        <f t="shared" si="2"/>
        <v/>
      </c>
      <c r="N25" s="481" t="str">
        <f>IF(F25="","",INT(HLOOKUP(N2,H2:M25,24,FALSE)*O1))</f>
        <v/>
      </c>
      <c r="O25" s="485" t="str">
        <f t="shared" si="3"/>
        <v/>
      </c>
    </row>
    <row r="26" spans="1:15" s="20" customFormat="1" ht="20" customHeight="1" thickTop="1" thickBot="1">
      <c r="A26" s="28"/>
      <c r="B26" s="29"/>
      <c r="C26" s="29"/>
      <c r="D26" s="30" t="str">
        <f>IF(G26="","合      計","")</f>
        <v>合      計</v>
      </c>
      <c r="E26" s="31" t="s">
        <v>61</v>
      </c>
      <c r="F26" s="31"/>
      <c r="G26" s="51"/>
      <c r="H26" s="486"/>
      <c r="I26" s="487">
        <f>IF($G26="",IF(SUM(I4:I25)=0,"",SUM(I4:I25)),IF(#REF!="","",SUM(I4:I25)+#REF!))</f>
        <v>3300000</v>
      </c>
      <c r="J26" s="488"/>
      <c r="K26" s="487" t="str">
        <f>IF(G26="",IF(SUM(K4:K25)=0,"",SUM(K4:K25)),IF(#REF!="","",SUM(K4:K25)+#REF!))</f>
        <v/>
      </c>
      <c r="L26" s="488"/>
      <c r="M26" s="489" t="str">
        <f>IF(G26="",IF(SUM(M4:M25)=0,"",SUM(M4:M25)),IF(#REF!="","",SUM(M4:M25)+#REF!))</f>
        <v/>
      </c>
      <c r="N26" s="490" t="s">
        <v>29</v>
      </c>
      <c r="O26" s="491">
        <f>IF(G53="",MIN(I26,K26,M26),"")</f>
        <v>3300000</v>
      </c>
    </row>
    <row r="27" spans="1:15" s="20" customFormat="1" ht="20" customHeight="1">
      <c r="A27" s="24"/>
      <c r="B27" s="24"/>
      <c r="C27" s="24"/>
      <c r="G27" s="24"/>
      <c r="H27" s="32"/>
      <c r="I27" s="32"/>
      <c r="J27" s="32"/>
      <c r="K27" s="32"/>
      <c r="L27" s="32"/>
      <c r="M27" s="32"/>
      <c r="N27" s="20" t="str">
        <f>IF(B29="","EOL","")</f>
        <v>EOL</v>
      </c>
      <c r="O27" s="32">
        <v>1</v>
      </c>
    </row>
  </sheetData>
  <mergeCells count="5">
    <mergeCell ref="N2:O2"/>
    <mergeCell ref="A1:M1"/>
    <mergeCell ref="H2:I2"/>
    <mergeCell ref="J2:K2"/>
    <mergeCell ref="L2:M2"/>
  </mergeCells>
  <phoneticPr fontId="2"/>
  <pageMargins left="0.19685039370078741" right="0.19685039370078741" top="0.78740157480314965" bottom="0.19685039370078741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V54"/>
  <sheetViews>
    <sheetView topLeftCell="A29" zoomScaleNormal="100" workbookViewId="0">
      <selection activeCell="J30" sqref="J30:T30"/>
    </sheetView>
  </sheetViews>
  <sheetFormatPr baseColWidth="10" defaultColWidth="9" defaultRowHeight="20" customHeight="1"/>
  <cols>
    <col min="1" max="1" width="4.5" style="24" customWidth="1"/>
    <col min="2" max="3" width="3.1640625" style="24" customWidth="1"/>
    <col min="4" max="4" width="16.6640625" style="20" customWidth="1"/>
    <col min="5" max="5" width="16.5" style="20" customWidth="1"/>
    <col min="6" max="6" width="4.1640625" style="20" customWidth="1"/>
    <col min="7" max="7" width="4.1640625" style="24" customWidth="1"/>
    <col min="8" max="9" width="6.5" style="32" customWidth="1"/>
    <col min="10" max="11" width="3.1640625" style="24" customWidth="1"/>
    <col min="12" max="13" width="16.6640625" style="20" customWidth="1"/>
    <col min="14" max="14" width="4.1640625" style="20" customWidth="1"/>
    <col min="15" max="15" width="4" style="24" customWidth="1"/>
    <col min="16" max="20" width="6.5" style="32" customWidth="1"/>
    <col min="21" max="21" width="9.1640625" style="20" bestFit="1" customWidth="1"/>
    <col min="22" max="22" width="5.83203125" style="20" customWidth="1"/>
    <col min="23" max="25" width="10.6640625" style="20" customWidth="1"/>
    <col min="26" max="16384" width="9" style="20"/>
  </cols>
  <sheetData>
    <row r="1" spans="1:22" ht="20" customHeight="1" thickBot="1">
      <c r="A1" s="2754" t="s">
        <v>240</v>
      </c>
      <c r="B1" s="2754"/>
      <c r="C1" s="2754"/>
      <c r="D1" s="2754"/>
      <c r="E1" s="2754"/>
      <c r="F1" s="2754"/>
      <c r="G1" s="2754"/>
      <c r="H1" s="2754"/>
      <c r="I1" s="2754"/>
      <c r="J1" s="2754"/>
      <c r="K1" s="2754"/>
      <c r="L1" s="2754"/>
      <c r="M1" s="237" t="s">
        <v>203</v>
      </c>
      <c r="N1" s="2755" t="s">
        <v>3037</v>
      </c>
      <c r="O1" s="2755"/>
      <c r="P1" s="2755"/>
      <c r="Q1" s="238"/>
      <c r="R1" s="20"/>
      <c r="S1" s="1"/>
      <c r="T1" s="20"/>
      <c r="U1" s="20" t="s">
        <v>62</v>
      </c>
      <c r="V1" s="1">
        <f ca="1">VLOOKUP("EOL",$N$1:$O$65536,2,FALSE)</f>
        <v>2</v>
      </c>
    </row>
    <row r="2" spans="1:22" s="24" customFormat="1" ht="20" customHeight="1">
      <c r="A2" s="293"/>
      <c r="B2" s="409"/>
      <c r="C2" s="409"/>
      <c r="D2" s="2756" t="s">
        <v>205</v>
      </c>
      <c r="E2" s="2756"/>
      <c r="F2" s="2756"/>
      <c r="G2" s="2756"/>
      <c r="H2" s="414"/>
      <c r="I2" s="415"/>
      <c r="J2" s="2759" t="s">
        <v>283</v>
      </c>
      <c r="K2" s="2760"/>
      <c r="L2" s="2760"/>
      <c r="M2" s="2760"/>
      <c r="N2" s="2760"/>
      <c r="O2" s="2760"/>
      <c r="P2" s="2760"/>
      <c r="Q2" s="2760"/>
      <c r="R2" s="2760"/>
      <c r="S2" s="2760"/>
      <c r="T2" s="2761"/>
    </row>
    <row r="3" spans="1:22" s="24" customFormat="1" ht="20" customHeight="1" thickBot="1">
      <c r="A3" s="294"/>
      <c r="B3" s="295"/>
      <c r="C3" s="295"/>
      <c r="D3" s="296"/>
      <c r="E3" s="297" t="s">
        <v>241</v>
      </c>
      <c r="F3" s="2757">
        <v>0.6</v>
      </c>
      <c r="G3" s="2758"/>
      <c r="H3" s="416"/>
      <c r="I3" s="417"/>
      <c r="J3" s="2762"/>
      <c r="K3" s="2763"/>
      <c r="L3" s="2763"/>
      <c r="M3" s="2763"/>
      <c r="N3" s="2763"/>
      <c r="O3" s="2763"/>
      <c r="P3" s="2763"/>
      <c r="Q3" s="2763"/>
      <c r="R3" s="2763"/>
      <c r="S3" s="2763"/>
      <c r="T3" s="2764"/>
    </row>
    <row r="4" spans="1:22" ht="20" customHeight="1">
      <c r="A4" s="299" t="s">
        <v>242</v>
      </c>
      <c r="B4" s="300" t="s">
        <v>243</v>
      </c>
      <c r="C4" s="301" t="s">
        <v>244</v>
      </c>
      <c r="D4" s="302"/>
      <c r="E4" s="303"/>
      <c r="F4" s="303"/>
      <c r="G4" s="304"/>
      <c r="H4" s="240" t="s">
        <v>2502</v>
      </c>
      <c r="I4" s="241" t="s">
        <v>207</v>
      </c>
      <c r="J4" s="242" t="s">
        <v>16</v>
      </c>
      <c r="K4" s="239" t="s">
        <v>18</v>
      </c>
      <c r="L4" s="305"/>
      <c r="M4" s="306"/>
      <c r="N4" s="307"/>
      <c r="O4" s="356"/>
      <c r="P4" s="241" t="s">
        <v>208</v>
      </c>
      <c r="Q4" s="308"/>
      <c r="R4" s="308"/>
      <c r="S4" s="388" t="s">
        <v>278</v>
      </c>
      <c r="T4" s="390" t="s">
        <v>279</v>
      </c>
    </row>
    <row r="5" spans="1:22" ht="20" customHeight="1" thickBot="1">
      <c r="A5" s="243" t="s">
        <v>209</v>
      </c>
      <c r="B5" s="244" t="s">
        <v>17</v>
      </c>
      <c r="C5" s="245" t="s">
        <v>17</v>
      </c>
      <c r="D5" s="246" t="s">
        <v>19</v>
      </c>
      <c r="E5" s="247" t="s">
        <v>20</v>
      </c>
      <c r="F5" s="309" t="s">
        <v>21</v>
      </c>
      <c r="G5" s="310" t="s">
        <v>22</v>
      </c>
      <c r="H5" s="248" t="s">
        <v>245</v>
      </c>
      <c r="I5" s="249" t="s">
        <v>23</v>
      </c>
      <c r="J5" s="250" t="s">
        <v>17</v>
      </c>
      <c r="K5" s="244" t="s">
        <v>17</v>
      </c>
      <c r="L5" s="251" t="s">
        <v>19</v>
      </c>
      <c r="M5" s="247" t="s">
        <v>20</v>
      </c>
      <c r="N5" s="309" t="s">
        <v>21</v>
      </c>
      <c r="O5" s="247" t="s">
        <v>22</v>
      </c>
      <c r="P5" s="249" t="s">
        <v>23</v>
      </c>
      <c r="Q5" s="252" t="s">
        <v>28</v>
      </c>
      <c r="R5" s="252" t="s">
        <v>281</v>
      </c>
      <c r="S5" s="389" t="s">
        <v>280</v>
      </c>
      <c r="T5" s="252" t="s">
        <v>280</v>
      </c>
    </row>
    <row r="6" spans="1:22" ht="20" customHeight="1">
      <c r="A6" s="253"/>
      <c r="B6" s="254"/>
      <c r="C6" s="255"/>
      <c r="D6" s="256" t="s">
        <v>3006</v>
      </c>
      <c r="E6" s="257"/>
      <c r="F6" s="425"/>
      <c r="G6" s="259"/>
      <c r="H6" s="311"/>
      <c r="I6" s="260"/>
      <c r="J6" s="261"/>
      <c r="K6" s="255"/>
      <c r="L6" s="256"/>
      <c r="M6" s="257"/>
      <c r="N6" s="258"/>
      <c r="O6" s="259"/>
      <c r="P6" s="260"/>
      <c r="Q6" s="271" t="str">
        <f>IF(I6&lt;P6,IF(P6="","",IF(S27&lt;T27,R6,IF((H6+(P6-I6)*F$3)&lt;10000,ROUNDDOWN(H6+(P6-I6)*F$3,-1),ROUNDDOWN(H6+(P6-I6)*F$3,-2)))),R6)</f>
        <v/>
      </c>
      <c r="R6" s="410" t="str">
        <f t="shared" ref="R6:R25" si="0">IF(P6="","",IF(I6&lt;&gt;"",IF((P6/I6*H6)&lt;10,INT(P6/I6*H6),IF((P6/I6*H6)&lt;10000,ROUNDDOWN(P6/I6*H6,-1),ROUNDDOWN(P6/I6*H6,-2)))))</f>
        <v/>
      </c>
      <c r="S6" s="411" t="str">
        <f>IF(P6="","",(R6*N6-H6*F6))</f>
        <v/>
      </c>
      <c r="T6" s="410" t="str">
        <f>IF(P6="","",(P6*N6-I6*F6)*F3)</f>
        <v/>
      </c>
    </row>
    <row r="7" spans="1:22" ht="20" customHeight="1">
      <c r="A7" s="262">
        <v>600</v>
      </c>
      <c r="B7" s="263">
        <v>4</v>
      </c>
      <c r="C7" s="264">
        <v>4</v>
      </c>
      <c r="D7" s="265" t="s">
        <v>3002</v>
      </c>
      <c r="E7" s="266" t="s">
        <v>3003</v>
      </c>
      <c r="F7" s="426">
        <v>48</v>
      </c>
      <c r="G7" s="268" t="s">
        <v>184</v>
      </c>
      <c r="H7" s="312">
        <v>198400</v>
      </c>
      <c r="I7" s="269">
        <f>ROUNDDOWN(841260*F3,-2)</f>
        <v>504700</v>
      </c>
      <c r="J7" s="270">
        <v>4</v>
      </c>
      <c r="K7" s="264">
        <v>4</v>
      </c>
      <c r="L7" s="265" t="s">
        <v>3008</v>
      </c>
      <c r="M7" s="266" t="s">
        <v>3010</v>
      </c>
      <c r="N7" s="267">
        <v>4</v>
      </c>
      <c r="O7" s="268" t="s">
        <v>2995</v>
      </c>
      <c r="P7" s="269">
        <v>435000</v>
      </c>
      <c r="Q7" s="271">
        <f>IF(I7&lt;P7,IF(P7="","",IF(S27&lt;T27,R7,IF((H7+(P7-I7)*F$3)&lt;10000,ROUNDDOWN(H7+(P7-I7)*F$3,-1),ROUNDDOWN(H7+(P7-I7)*F$3,-2)))),R7)</f>
        <v>171000</v>
      </c>
      <c r="R7" s="410">
        <f>IF(P7="","",IF(I7&lt;&gt;"",IF((P7/I7*H7)&lt;10,INT(P7/I7*H7),IF((P7/I7*H7)&lt;10000,ROUNDDOWN(P7/I7*H7,-1),ROUNDDOWN(P7/I7*H7,-2)))))</f>
        <v>171000</v>
      </c>
      <c r="S7" s="411">
        <f>IF(P7="","",(R7*N7-H7*F7))</f>
        <v>-8839200</v>
      </c>
      <c r="T7" s="410">
        <f>IF(P7="","",(P7*N7-I7*F7)*F3)</f>
        <v>-13491360</v>
      </c>
    </row>
    <row r="8" spans="1:22" ht="20" customHeight="1">
      <c r="A8" s="262"/>
      <c r="B8" s="263"/>
      <c r="C8" s="264"/>
      <c r="D8" s="265"/>
      <c r="E8" s="266" t="s">
        <v>3005</v>
      </c>
      <c r="F8" s="426"/>
      <c r="G8" s="268"/>
      <c r="H8" s="312"/>
      <c r="I8" s="269"/>
      <c r="J8" s="270"/>
      <c r="K8" s="264"/>
      <c r="L8" s="265" t="s">
        <v>3009</v>
      </c>
      <c r="M8" s="266" t="s">
        <v>3025</v>
      </c>
      <c r="N8" s="267"/>
      <c r="O8" s="268"/>
      <c r="P8" s="269"/>
      <c r="Q8" s="271" t="str">
        <f>IF(I8&lt;P8,IF(P8="","",IF(S27&lt;T27,R8,IF((H8+(P8-I8)*F$3)&lt;10000,ROUNDDOWN(H8+(P8-I8)*F$3,-1),ROUNDDOWN(H8+(P8-I8)*F$3,-2)))),R8)</f>
        <v/>
      </c>
      <c r="R8" s="410" t="str">
        <f t="shared" si="0"/>
        <v/>
      </c>
      <c r="S8" s="411" t="str">
        <f t="shared" ref="S8:S25" si="1">IF(P8="","",(R8*N8-H8*F8))</f>
        <v/>
      </c>
      <c r="T8" s="410" t="str">
        <f>IF(P8="","",(P8*N8-I8*F8)*F3)</f>
        <v/>
      </c>
    </row>
    <row r="9" spans="1:22" ht="20" customHeight="1">
      <c r="A9" s="262"/>
      <c r="B9" s="263"/>
      <c r="C9" s="264"/>
      <c r="D9" s="265"/>
      <c r="E9" s="266"/>
      <c r="F9" s="426"/>
      <c r="G9" s="268"/>
      <c r="H9" s="312"/>
      <c r="I9" s="269"/>
      <c r="J9" s="270"/>
      <c r="K9" s="264"/>
      <c r="L9" s="265"/>
      <c r="M9" s="266" t="s">
        <v>3011</v>
      </c>
      <c r="N9" s="267"/>
      <c r="O9" s="268"/>
      <c r="P9" s="269"/>
      <c r="Q9" s="271" t="str">
        <f>IF(I9&lt;P9,IF(P9="","",IF(S27&lt;T27,R9,IF((H9+(P9-I9)*F$3)&lt;10000,ROUNDDOWN(H9+(P9-I9)*F$3,-1),ROUNDDOWN(H9+(P9-I9)*F$3,-2)))),R9)</f>
        <v/>
      </c>
      <c r="R9" s="410" t="str">
        <f t="shared" si="0"/>
        <v/>
      </c>
      <c r="S9" s="411" t="str">
        <f t="shared" si="1"/>
        <v/>
      </c>
      <c r="T9" s="410" t="str">
        <f>IF(P9="","",(P9*N9-I9*F9)*F3)</f>
        <v/>
      </c>
    </row>
    <row r="10" spans="1:22" ht="20" customHeight="1">
      <c r="A10" s="262"/>
      <c r="B10" s="263"/>
      <c r="C10" s="264"/>
      <c r="D10" s="265"/>
      <c r="E10" s="266"/>
      <c r="F10" s="426"/>
      <c r="G10" s="268"/>
      <c r="H10" s="312"/>
      <c r="I10" s="269"/>
      <c r="J10" s="270"/>
      <c r="K10" s="264"/>
      <c r="L10" s="265"/>
      <c r="M10" s="266" t="s">
        <v>3012</v>
      </c>
      <c r="N10" s="267"/>
      <c r="O10" s="268"/>
      <c r="P10" s="269"/>
      <c r="Q10" s="271" t="str">
        <f>IF(I10&lt;P10,IF(P10="","",IF(S27&lt;T27,R10,IF((H10+(P10-I10)*F$3)&lt;10000,ROUNDDOWN(H10+(P10-I10)*F$3,-1),ROUNDDOWN(H10+(P10-I10)*F$3,-2)))),R10)</f>
        <v/>
      </c>
      <c r="R10" s="410" t="str">
        <f t="shared" si="0"/>
        <v/>
      </c>
      <c r="S10" s="411" t="str">
        <f t="shared" si="1"/>
        <v/>
      </c>
      <c r="T10" s="410" t="str">
        <f>IF(P10="","",(P10*N10-I10*F10)*F3)</f>
        <v/>
      </c>
    </row>
    <row r="11" spans="1:22" ht="20" customHeight="1">
      <c r="A11" s="262"/>
      <c r="B11" s="263"/>
      <c r="C11" s="264"/>
      <c r="D11" s="265"/>
      <c r="E11" s="266"/>
      <c r="F11" s="426"/>
      <c r="G11" s="268"/>
      <c r="H11" s="312"/>
      <c r="I11" s="269"/>
      <c r="J11" s="270"/>
      <c r="K11" s="264"/>
      <c r="L11" s="265"/>
      <c r="M11" s="266" t="s">
        <v>3013</v>
      </c>
      <c r="N11" s="267"/>
      <c r="O11" s="268"/>
      <c r="P11" s="269"/>
      <c r="Q11" s="271" t="str">
        <f>IF(I11&lt;P11,IF(P11="","",IF(S27&lt;T27,R11,IF((H11+(P11-I11)*F$3)&lt;10000,ROUNDDOWN(H11+(P11-I11)*F$3,-1),ROUNDDOWN(H11+(P11-I11)*F$3,-2)))),R11)</f>
        <v/>
      </c>
      <c r="R11" s="410" t="str">
        <f t="shared" si="0"/>
        <v/>
      </c>
      <c r="S11" s="411" t="str">
        <f t="shared" si="1"/>
        <v/>
      </c>
      <c r="T11" s="410" t="str">
        <f>IF(P11="","",(P11*N11-I11*F11)*F3)</f>
        <v/>
      </c>
    </row>
    <row r="12" spans="1:22" ht="20" customHeight="1">
      <c r="A12" s="262"/>
      <c r="B12" s="263"/>
      <c r="C12" s="264"/>
      <c r="D12" s="265"/>
      <c r="E12" s="266"/>
      <c r="F12" s="426"/>
      <c r="G12" s="268"/>
      <c r="H12" s="312"/>
      <c r="I12" s="269"/>
      <c r="J12" s="270"/>
      <c r="K12" s="264"/>
      <c r="L12" s="265"/>
      <c r="M12" s="266" t="s">
        <v>3014</v>
      </c>
      <c r="N12" s="267"/>
      <c r="O12" s="268"/>
      <c r="P12" s="269"/>
      <c r="Q12" s="271" t="str">
        <f>IF(I12&lt;P12,IF(P12="","",IF(S27&lt;T27,R12,IF((H12+(P12-I12)*F$3)&lt;10000,ROUNDDOWN(H12+(P12-I12)*F$3,-1),ROUNDDOWN(H12+(P12-I12)*F$3,-2)))),R12)</f>
        <v/>
      </c>
      <c r="R12" s="410" t="str">
        <f t="shared" si="0"/>
        <v/>
      </c>
      <c r="S12" s="411" t="str">
        <f t="shared" si="1"/>
        <v/>
      </c>
      <c r="T12" s="410" t="str">
        <f>IF(P12="","",(P12*N12-I12*F12)*F3)</f>
        <v/>
      </c>
    </row>
    <row r="13" spans="1:22" ht="20" customHeight="1">
      <c r="A13" s="262"/>
      <c r="B13" s="263"/>
      <c r="C13" s="264"/>
      <c r="D13" s="265"/>
      <c r="E13" s="266"/>
      <c r="F13" s="426"/>
      <c r="G13" s="268"/>
      <c r="H13" s="312"/>
      <c r="I13" s="269"/>
      <c r="J13" s="270"/>
      <c r="K13" s="264"/>
      <c r="L13" s="265"/>
      <c r="M13" s="266" t="s">
        <v>3015</v>
      </c>
      <c r="N13" s="267"/>
      <c r="O13" s="268"/>
      <c r="P13" s="269"/>
      <c r="Q13" s="271" t="str">
        <f>IF(I13&lt;P13,IF(P13="","",IF(S27&lt;T27,R13,IF((H13+(P13-I13)*F$3)&lt;10000,ROUNDDOWN(H13+(P13-I13)*F$3,-1),ROUNDDOWN(H13+(P13-I13)*F$3,-2)))),R13)</f>
        <v/>
      </c>
      <c r="R13" s="410" t="str">
        <f t="shared" si="0"/>
        <v/>
      </c>
      <c r="S13" s="411" t="str">
        <f t="shared" si="1"/>
        <v/>
      </c>
      <c r="T13" s="410" t="str">
        <f>IF(P13="","",(P13*N13-I13*F13)*F3)</f>
        <v/>
      </c>
    </row>
    <row r="14" spans="1:22" ht="20" customHeight="1">
      <c r="A14" s="262"/>
      <c r="B14" s="263"/>
      <c r="C14" s="264"/>
      <c r="D14" s="265"/>
      <c r="E14" s="266"/>
      <c r="F14" s="426"/>
      <c r="G14" s="268"/>
      <c r="H14" s="312"/>
      <c r="I14" s="269"/>
      <c r="J14" s="270"/>
      <c r="K14" s="264"/>
      <c r="L14" s="265"/>
      <c r="M14" s="266" t="s">
        <v>3016</v>
      </c>
      <c r="N14" s="267"/>
      <c r="O14" s="268"/>
      <c r="P14" s="269"/>
      <c r="Q14" s="271" t="str">
        <f>IF(I14&lt;P14,IF(P14="","",IF(S27&lt;T27,R14,IF((H14+(P14-I14)*F$3)&lt;10000,ROUNDDOWN(H14+(P14-I14)*F$3,-1),ROUNDDOWN(H14+(P14-I14)*F$3,-2)))),R14)</f>
        <v/>
      </c>
      <c r="R14" s="410" t="str">
        <f t="shared" si="0"/>
        <v/>
      </c>
      <c r="S14" s="411" t="str">
        <f t="shared" si="1"/>
        <v/>
      </c>
      <c r="T14" s="410" t="str">
        <f>IF(P14="","",(P14*N14-I14*F14)*F3)</f>
        <v/>
      </c>
    </row>
    <row r="15" spans="1:22" ht="20" customHeight="1">
      <c r="A15" s="262"/>
      <c r="B15" s="263"/>
      <c r="C15" s="264"/>
      <c r="D15" s="265"/>
      <c r="E15" s="266"/>
      <c r="F15" s="426"/>
      <c r="G15" s="268"/>
      <c r="H15" s="312"/>
      <c r="I15" s="269"/>
      <c r="J15" s="270"/>
      <c r="K15" s="264"/>
      <c r="L15" s="265"/>
      <c r="M15" s="266"/>
      <c r="N15" s="267"/>
      <c r="O15" s="268"/>
      <c r="P15" s="269"/>
      <c r="Q15" s="271" t="str">
        <f>IF(I15&lt;P15,IF(P15="","",IF(S27&lt;T27,R15,IF((H15+(P15-I15)*F$3)&lt;10000,ROUNDDOWN(H15+(P15-I15)*F$3,-1),ROUNDDOWN(H15+(P15-I15)*F$3,-2)))),R15)</f>
        <v/>
      </c>
      <c r="R15" s="410" t="str">
        <f t="shared" si="0"/>
        <v/>
      </c>
      <c r="S15" s="411" t="str">
        <f t="shared" si="1"/>
        <v/>
      </c>
      <c r="T15" s="410" t="str">
        <f>IF(P15="","",(P15*N15-I15*F15)*F3)</f>
        <v/>
      </c>
    </row>
    <row r="16" spans="1:22" ht="20" customHeight="1">
      <c r="A16" s="262"/>
      <c r="B16" s="263"/>
      <c r="C16" s="264"/>
      <c r="D16" s="265"/>
      <c r="E16" s="266"/>
      <c r="F16" s="426"/>
      <c r="G16" s="268"/>
      <c r="H16" s="312"/>
      <c r="I16" s="269"/>
      <c r="J16" s="270"/>
      <c r="K16" s="264"/>
      <c r="L16" s="265"/>
      <c r="M16" s="266"/>
      <c r="N16" s="267"/>
      <c r="O16" s="268"/>
      <c r="P16" s="269"/>
      <c r="Q16" s="271" t="str">
        <f>IF(I16&lt;P16,IF(P16="","",IF(S27&lt;T27,R16,IF((H16+(P16-I16)*F$3)&lt;10000,ROUNDDOWN(H16+(P16-I16)*F$3,-1),ROUNDDOWN(H16+(P16-I16)*F$3,-2)))),R16)</f>
        <v/>
      </c>
      <c r="R16" s="410" t="str">
        <f t="shared" si="0"/>
        <v/>
      </c>
      <c r="S16" s="411" t="str">
        <f t="shared" si="1"/>
        <v/>
      </c>
      <c r="T16" s="410" t="str">
        <f>IF(P16="","",(P16*N16-I16*F16)*F3)</f>
        <v/>
      </c>
    </row>
    <row r="17" spans="1:20" ht="20" customHeight="1">
      <c r="A17" s="262"/>
      <c r="B17" s="263"/>
      <c r="C17" s="264"/>
      <c r="D17" s="265"/>
      <c r="E17" s="266"/>
      <c r="F17" s="426"/>
      <c r="G17" s="268"/>
      <c r="H17" s="312"/>
      <c r="I17" s="269"/>
      <c r="J17" s="270"/>
      <c r="K17" s="264"/>
      <c r="L17" s="265"/>
      <c r="M17" s="266"/>
      <c r="N17" s="267"/>
      <c r="O17" s="268"/>
      <c r="P17" s="269"/>
      <c r="Q17" s="271" t="str">
        <f>IF(I17&lt;P17,IF(P17="","",IF(S27&lt;T27,R17,IF((H17+(P17-I17)*F$3)&lt;10000,ROUNDDOWN(H17+(P17-I17)*F$3,-1),ROUNDDOWN(H17+(P17-I17)*F$3,-2)))),R17)</f>
        <v/>
      </c>
      <c r="R17" s="410" t="str">
        <f t="shared" si="0"/>
        <v/>
      </c>
      <c r="S17" s="411" t="str">
        <f t="shared" si="1"/>
        <v/>
      </c>
      <c r="T17" s="410" t="str">
        <f>IF(P17="","",(P17*N17-I17*F17)*F3)</f>
        <v/>
      </c>
    </row>
    <row r="18" spans="1:20" ht="20" customHeight="1">
      <c r="A18" s="262"/>
      <c r="B18" s="263"/>
      <c r="C18" s="264"/>
      <c r="D18" s="265"/>
      <c r="E18" s="266"/>
      <c r="F18" s="426"/>
      <c r="G18" s="268"/>
      <c r="H18" s="312"/>
      <c r="I18" s="269"/>
      <c r="J18" s="270"/>
      <c r="K18" s="264"/>
      <c r="L18" s="265"/>
      <c r="M18" s="266"/>
      <c r="N18" s="267"/>
      <c r="O18" s="268"/>
      <c r="P18" s="269"/>
      <c r="Q18" s="271" t="str">
        <f>IF(I18&lt;P18,IF(P18="","",IF(S27&lt;T27,R18,IF((H18+(P18-I18)*F$3)&lt;10000,ROUNDDOWN(H18+(P18-I18)*F$3,-1),ROUNDDOWN(H18+(P18-I18)*F$3,-2)))),R18)</f>
        <v/>
      </c>
      <c r="R18" s="410" t="str">
        <f t="shared" si="0"/>
        <v/>
      </c>
      <c r="S18" s="411" t="str">
        <f t="shared" si="1"/>
        <v/>
      </c>
      <c r="T18" s="410" t="str">
        <f>IF(P18="","",(P18*N18-I18*F18)*F3)</f>
        <v/>
      </c>
    </row>
    <row r="19" spans="1:20" ht="20" customHeight="1">
      <c r="A19" s="262"/>
      <c r="B19" s="263"/>
      <c r="C19" s="264"/>
      <c r="D19" s="265"/>
      <c r="E19" s="266"/>
      <c r="F19" s="426"/>
      <c r="G19" s="268"/>
      <c r="H19" s="312"/>
      <c r="I19" s="269"/>
      <c r="J19" s="270"/>
      <c r="K19" s="264"/>
      <c r="L19" s="265"/>
      <c r="M19" s="266"/>
      <c r="N19" s="267"/>
      <c r="O19" s="268"/>
      <c r="P19" s="269"/>
      <c r="Q19" s="271" t="str">
        <f>IF(I19&lt;P19,IF(P19="","",IF(S27&lt;T27,R19,IF((H19+(P19-I19)*F$3)&lt;10000,ROUNDDOWN(H19+(P19-I19)*F$3,-1),ROUNDDOWN(H19+(P19-I19)*F$3,-2)))),R19)</f>
        <v/>
      </c>
      <c r="R19" s="410" t="str">
        <f t="shared" si="0"/>
        <v/>
      </c>
      <c r="S19" s="411" t="str">
        <f t="shared" si="1"/>
        <v/>
      </c>
      <c r="T19" s="410" t="str">
        <f>IF(P19="","",(P19*N19-I19*F19)*F3)</f>
        <v/>
      </c>
    </row>
    <row r="20" spans="1:20" ht="20" customHeight="1">
      <c r="A20" s="262"/>
      <c r="B20" s="263"/>
      <c r="C20" s="264"/>
      <c r="D20" s="265"/>
      <c r="E20" s="266"/>
      <c r="F20" s="426"/>
      <c r="G20" s="268"/>
      <c r="H20" s="312"/>
      <c r="I20" s="269"/>
      <c r="J20" s="270"/>
      <c r="K20" s="264"/>
      <c r="L20" s="265"/>
      <c r="M20" s="266"/>
      <c r="N20" s="267"/>
      <c r="O20" s="268"/>
      <c r="P20" s="269"/>
      <c r="Q20" s="271" t="str">
        <f>IF(I20&lt;P20,IF(P20="","",IF(S27&lt;T27,R20,IF((H20+(P20-I20)*F$3)&lt;10000,ROUNDDOWN(H20+(P20-I20)*F$3,-1),ROUNDDOWN(H20+(P20-I20)*F$3,-2)))),R20)</f>
        <v/>
      </c>
      <c r="R20" s="410" t="str">
        <f t="shared" si="0"/>
        <v/>
      </c>
      <c r="S20" s="411" t="str">
        <f t="shared" si="1"/>
        <v/>
      </c>
      <c r="T20" s="410" t="str">
        <f>IF(P20="","",(P20*N20-I20*F20)*F3)</f>
        <v/>
      </c>
    </row>
    <row r="21" spans="1:20" ht="20" customHeight="1">
      <c r="A21" s="262"/>
      <c r="B21" s="263"/>
      <c r="C21" s="264"/>
      <c r="D21" s="265"/>
      <c r="E21" s="266"/>
      <c r="F21" s="426"/>
      <c r="G21" s="268"/>
      <c r="H21" s="312"/>
      <c r="I21" s="269"/>
      <c r="J21" s="270"/>
      <c r="K21" s="264"/>
      <c r="L21" s="265"/>
      <c r="M21" s="266"/>
      <c r="N21" s="267"/>
      <c r="O21" s="268"/>
      <c r="P21" s="269"/>
      <c r="Q21" s="271" t="str">
        <f>IF(I21&lt;P21,IF(P21="","",IF(S27&lt;T27,R21,IF((H21+(P21-I21)*F$3)&lt;10000,ROUNDDOWN(H21+(P21-I21)*F$3,-1),ROUNDDOWN(H21+(P21-I21)*F$3,-2)))),R21)</f>
        <v/>
      </c>
      <c r="R21" s="410" t="str">
        <f t="shared" si="0"/>
        <v/>
      </c>
      <c r="S21" s="411" t="str">
        <f t="shared" si="1"/>
        <v/>
      </c>
      <c r="T21" s="410" t="str">
        <f>IF(P21="","",(P21*N21-I21*F21)*F3)</f>
        <v/>
      </c>
    </row>
    <row r="22" spans="1:20" ht="20" customHeight="1">
      <c r="A22" s="262"/>
      <c r="B22" s="263"/>
      <c r="C22" s="264"/>
      <c r="D22" s="265"/>
      <c r="E22" s="266"/>
      <c r="F22" s="426"/>
      <c r="G22" s="268"/>
      <c r="H22" s="312"/>
      <c r="I22" s="269"/>
      <c r="J22" s="270"/>
      <c r="K22" s="264"/>
      <c r="L22" s="265"/>
      <c r="M22" s="266"/>
      <c r="N22" s="267"/>
      <c r="O22" s="268"/>
      <c r="P22" s="269"/>
      <c r="Q22" s="271" t="str">
        <f>IF(I22&lt;P22,IF(P22="","",IF(S27&lt;T27,R22,IF((H22+(P22-I22)*F$3)&lt;10000,ROUNDDOWN(H22+(P22-I22)*F$3,-1),ROUNDDOWN(H22+(P22-I22)*F$3,-2)))),R22)</f>
        <v/>
      </c>
      <c r="R22" s="410" t="str">
        <f t="shared" si="0"/>
        <v/>
      </c>
      <c r="S22" s="411" t="str">
        <f t="shared" si="1"/>
        <v/>
      </c>
      <c r="T22" s="410" t="str">
        <f>IF(P22="","",(P22*N22-I22*F22)*F3)</f>
        <v/>
      </c>
    </row>
    <row r="23" spans="1:20" ht="20" customHeight="1">
      <c r="A23" s="262"/>
      <c r="B23" s="263"/>
      <c r="C23" s="264"/>
      <c r="D23" s="265"/>
      <c r="E23" s="266"/>
      <c r="F23" s="426"/>
      <c r="G23" s="268"/>
      <c r="H23" s="312"/>
      <c r="I23" s="269"/>
      <c r="J23" s="270"/>
      <c r="K23" s="264"/>
      <c r="L23" s="265"/>
      <c r="M23" s="266"/>
      <c r="N23" s="267"/>
      <c r="O23" s="268"/>
      <c r="P23" s="269"/>
      <c r="Q23" s="271" t="str">
        <f>IF(I23&lt;P23,IF(P23="","",IF(S27&lt;T27,R23,IF((H23+(P23-I23)*F$3)&lt;10000,ROUNDDOWN(H23+(P23-I23)*F$3,-1),ROUNDDOWN(H23+(P23-I23)*F$3,-2)))),R23)</f>
        <v/>
      </c>
      <c r="R23" s="410" t="str">
        <f t="shared" si="0"/>
        <v/>
      </c>
      <c r="S23" s="411" t="str">
        <f t="shared" si="1"/>
        <v/>
      </c>
      <c r="T23" s="410" t="str">
        <f>IF(P23="","",(P23*N23-I23*F23)*F3)</f>
        <v/>
      </c>
    </row>
    <row r="24" spans="1:20" ht="20" customHeight="1">
      <c r="A24" s="262"/>
      <c r="B24" s="263"/>
      <c r="C24" s="264"/>
      <c r="D24" s="265"/>
      <c r="E24" s="266"/>
      <c r="F24" s="426"/>
      <c r="G24" s="268"/>
      <c r="H24" s="312"/>
      <c r="I24" s="269"/>
      <c r="J24" s="270"/>
      <c r="K24" s="264"/>
      <c r="L24" s="265"/>
      <c r="M24" s="266"/>
      <c r="N24" s="267"/>
      <c r="O24" s="268"/>
      <c r="P24" s="269"/>
      <c r="Q24" s="271" t="str">
        <f>IF(I24&lt;P24,IF(P24="","",IF(S27&lt;T27,R24,IF((H24+(P24-I24)*F$3)&lt;10000,ROUNDDOWN(H24+(P24-I24)*F$3,-1),ROUNDDOWN(H24+(P24-I24)*F$3,-2)))),R24)</f>
        <v/>
      </c>
      <c r="R24" s="410" t="str">
        <f t="shared" si="0"/>
        <v/>
      </c>
      <c r="S24" s="411" t="str">
        <f t="shared" si="1"/>
        <v/>
      </c>
      <c r="T24" s="410" t="str">
        <f>IF(P24="","",(P24*N24-I24*F24)*F3)</f>
        <v/>
      </c>
    </row>
    <row r="25" spans="1:20" ht="20" customHeight="1" thickBot="1">
      <c r="A25" s="391"/>
      <c r="B25" s="392"/>
      <c r="C25" s="393"/>
      <c r="D25" s="394"/>
      <c r="E25" s="395"/>
      <c r="F25" s="427"/>
      <c r="G25" s="397"/>
      <c r="H25" s="298"/>
      <c r="I25" s="398"/>
      <c r="J25" s="399"/>
      <c r="K25" s="393"/>
      <c r="L25" s="394"/>
      <c r="M25" s="395"/>
      <c r="N25" s="396"/>
      <c r="O25" s="397"/>
      <c r="P25" s="398"/>
      <c r="Q25" s="271" t="str">
        <f>IF(I25&lt;P25,IF(P25="","",IF(S27&lt;T27,R25,IF((H25+(P25-I25)*F$3)&lt;10000,ROUNDDOWN(H25+(P25-I25)*F$3,-1),ROUNDDOWN(H25+(P25-I25)*F$3,-2)))),R25)</f>
        <v/>
      </c>
      <c r="R25" s="412" t="str">
        <f t="shared" si="0"/>
        <v/>
      </c>
      <c r="S25" s="411" t="str">
        <f t="shared" si="1"/>
        <v/>
      </c>
      <c r="T25" s="410" t="str">
        <f>IF(P25="","",(P25*N25-I25*F25)*F3)</f>
        <v/>
      </c>
    </row>
    <row r="26" spans="1:20" ht="20" customHeight="1" thickBot="1">
      <c r="A26" s="400"/>
      <c r="B26" s="401"/>
      <c r="C26" s="401"/>
      <c r="D26" s="402"/>
      <c r="E26" s="402"/>
      <c r="F26" s="402"/>
      <c r="G26" s="403"/>
      <c r="H26" s="404"/>
      <c r="I26" s="405"/>
      <c r="J26" s="401"/>
      <c r="K26" s="401"/>
      <c r="L26" s="402"/>
      <c r="M26" s="421"/>
      <c r="N26" s="422"/>
      <c r="O26" s="422"/>
      <c r="P26" s="464" t="s">
        <v>284</v>
      </c>
      <c r="Q26" s="419"/>
      <c r="R26" s="406" t="s">
        <v>282</v>
      </c>
      <c r="S26" s="407">
        <f>IF($Q26="",IF(SUM(S6:S25)=0,"",SUM(S6:S25)),IF(#REF!="","",SUM(S6:S25)+#REF!))</f>
        <v>-8839200</v>
      </c>
      <c r="T26" s="408">
        <f>IF($Q26="",IF(SUM(T6:T25)=0,"",SUM(T6:T25)),IF(#REF!="","",SUM(T6:T25)+#REF!))</f>
        <v>-13491360</v>
      </c>
    </row>
    <row r="27" spans="1:20" ht="20" customHeight="1" thickBot="1">
      <c r="N27" s="20" t="str">
        <f>IF(A31="","EOL","")</f>
        <v/>
      </c>
      <c r="O27" s="32">
        <v>1</v>
      </c>
      <c r="P27" s="465"/>
      <c r="Q27" s="466"/>
      <c r="R27" s="406" t="s">
        <v>286</v>
      </c>
      <c r="S27" s="424">
        <f ca="1">IF(INDIRECT("Q"&amp;53)="",S26,INDIRECT("s"&amp;54))</f>
        <v>-8839200</v>
      </c>
      <c r="T27" s="408">
        <f ca="1">IF(INDIRECT("Q"&amp;53)="",T26,INDIRECT("t"&amp;54))</f>
        <v>-13491360</v>
      </c>
    </row>
    <row r="28" spans="1:20" ht="20" customHeight="1" thickBot="1">
      <c r="A28" s="2754" t="s">
        <v>3020</v>
      </c>
      <c r="B28" s="2754"/>
      <c r="C28" s="2754"/>
      <c r="D28" s="2754"/>
      <c r="E28" s="2754"/>
      <c r="F28" s="2754"/>
      <c r="G28" s="2754"/>
      <c r="H28" s="2754"/>
      <c r="I28" s="2754"/>
      <c r="J28" s="2754"/>
      <c r="K28" s="2754"/>
      <c r="L28" s="2754"/>
      <c r="M28" s="237" t="s">
        <v>203</v>
      </c>
      <c r="N28" s="2755" t="s">
        <v>3037</v>
      </c>
      <c r="O28" s="2755"/>
      <c r="P28" s="2755"/>
      <c r="Q28" s="238"/>
      <c r="R28" s="20"/>
      <c r="S28" s="1"/>
      <c r="T28" s="20"/>
    </row>
    <row r="29" spans="1:20" s="24" customFormat="1" ht="20" customHeight="1">
      <c r="A29" s="293"/>
      <c r="B29" s="839"/>
      <c r="C29" s="839"/>
      <c r="D29" s="2756" t="s">
        <v>205</v>
      </c>
      <c r="E29" s="2756"/>
      <c r="F29" s="2756"/>
      <c r="G29" s="2756"/>
      <c r="H29" s="388"/>
      <c r="I29" s="418"/>
      <c r="J29" s="2759" t="s">
        <v>283</v>
      </c>
      <c r="K29" s="2760"/>
      <c r="L29" s="2760"/>
      <c r="M29" s="2760"/>
      <c r="N29" s="2760"/>
      <c r="O29" s="2760"/>
      <c r="P29" s="2760"/>
      <c r="Q29" s="2760"/>
      <c r="R29" s="2760"/>
      <c r="S29" s="2760"/>
      <c r="T29" s="2761"/>
    </row>
    <row r="30" spans="1:20" s="24" customFormat="1" ht="20" customHeight="1" thickBot="1">
      <c r="A30" s="294"/>
      <c r="B30" s="295"/>
      <c r="C30" s="295"/>
      <c r="D30" s="296"/>
      <c r="E30" s="297" t="s">
        <v>241</v>
      </c>
      <c r="F30" s="2757">
        <v>0.6</v>
      </c>
      <c r="G30" s="2758"/>
      <c r="H30" s="416"/>
      <c r="I30" s="417"/>
      <c r="J30" s="2762"/>
      <c r="K30" s="2763"/>
      <c r="L30" s="2763"/>
      <c r="M30" s="2763"/>
      <c r="N30" s="2763"/>
      <c r="O30" s="2763"/>
      <c r="P30" s="2763"/>
      <c r="Q30" s="2763"/>
      <c r="R30" s="2763"/>
      <c r="S30" s="2763"/>
      <c r="T30" s="2764"/>
    </row>
    <row r="31" spans="1:20" ht="20" customHeight="1">
      <c r="A31" s="299" t="s">
        <v>242</v>
      </c>
      <c r="B31" s="300" t="s">
        <v>243</v>
      </c>
      <c r="C31" s="301" t="s">
        <v>244</v>
      </c>
      <c r="D31" s="302"/>
      <c r="E31" s="303"/>
      <c r="F31" s="303"/>
      <c r="G31" s="304"/>
      <c r="H31" s="837" t="s">
        <v>206</v>
      </c>
      <c r="I31" s="838" t="s">
        <v>207</v>
      </c>
      <c r="J31" s="242" t="s">
        <v>16</v>
      </c>
      <c r="K31" s="239" t="s">
        <v>18</v>
      </c>
      <c r="L31" s="305"/>
      <c r="M31" s="306"/>
      <c r="N31" s="307"/>
      <c r="O31" s="356"/>
      <c r="P31" s="838" t="s">
        <v>208</v>
      </c>
      <c r="Q31" s="308"/>
      <c r="R31" s="308"/>
      <c r="S31" s="388" t="s">
        <v>278</v>
      </c>
      <c r="T31" s="390" t="s">
        <v>279</v>
      </c>
    </row>
    <row r="32" spans="1:20" ht="20" customHeight="1" thickBot="1">
      <c r="A32" s="243" t="s">
        <v>209</v>
      </c>
      <c r="B32" s="244" t="s">
        <v>17</v>
      </c>
      <c r="C32" s="245" t="s">
        <v>17</v>
      </c>
      <c r="D32" s="246" t="s">
        <v>19</v>
      </c>
      <c r="E32" s="247" t="s">
        <v>20</v>
      </c>
      <c r="F32" s="309" t="s">
        <v>21</v>
      </c>
      <c r="G32" s="310" t="s">
        <v>22</v>
      </c>
      <c r="H32" s="248" t="s">
        <v>245</v>
      </c>
      <c r="I32" s="249" t="s">
        <v>23</v>
      </c>
      <c r="J32" s="250" t="s">
        <v>17</v>
      </c>
      <c r="K32" s="244" t="s">
        <v>17</v>
      </c>
      <c r="L32" s="251" t="s">
        <v>19</v>
      </c>
      <c r="M32" s="247" t="s">
        <v>20</v>
      </c>
      <c r="N32" s="309" t="s">
        <v>21</v>
      </c>
      <c r="O32" s="247" t="s">
        <v>22</v>
      </c>
      <c r="P32" s="249" t="s">
        <v>23</v>
      </c>
      <c r="Q32" s="252" t="s">
        <v>28</v>
      </c>
      <c r="R32" s="252" t="s">
        <v>281</v>
      </c>
      <c r="S32" s="389" t="s">
        <v>280</v>
      </c>
      <c r="T32" s="252" t="s">
        <v>280</v>
      </c>
    </row>
    <row r="33" spans="1:20" ht="20" customHeight="1">
      <c r="A33" s="253"/>
      <c r="B33" s="254"/>
      <c r="C33" s="255"/>
      <c r="D33" s="256"/>
      <c r="E33" s="257"/>
      <c r="F33" s="425"/>
      <c r="G33" s="259"/>
      <c r="H33" s="311"/>
      <c r="I33" s="260"/>
      <c r="J33" s="261"/>
      <c r="K33" s="255"/>
      <c r="L33" s="256"/>
      <c r="M33" s="257"/>
      <c r="N33" s="258"/>
      <c r="O33" s="259"/>
      <c r="P33" s="260"/>
      <c r="Q33" s="271" t="str">
        <f>IF(I33&lt;P33,IF(P33="","",IF(S54&lt;T54,R33,IF((H33+(P33-I33)*F30)&lt;10000,ROUNDDOWN(H33+(P33-I33)*F30,-1),ROUNDDOWN(H33+(P33-I33)*F30,-2)))),R33)</f>
        <v/>
      </c>
      <c r="R33" s="410" t="str">
        <f t="shared" ref="R33:R52" si="2">IF(P33="","",IF(I33&lt;&gt;"",IF((P33/I33*H33)&lt;10,INT(P33/I33*H33),IF((P33/I33*H33)&lt;10000,ROUNDDOWN(P33/I33*H33,-1),ROUNDDOWN(P33/I33*H33,-2)))))</f>
        <v/>
      </c>
      <c r="S33" s="411" t="str">
        <f>IF(P33="","",(R33*N33-H33*F33))</f>
        <v/>
      </c>
      <c r="T33" s="410" t="str">
        <f>IF(P33="","",(P33*N33-I33*F33)*F30)</f>
        <v/>
      </c>
    </row>
    <row r="34" spans="1:20" ht="20" customHeight="1">
      <c r="A34" s="262"/>
      <c r="B34" s="263"/>
      <c r="C34" s="264"/>
      <c r="D34" s="265" t="s">
        <v>3007</v>
      </c>
      <c r="E34" s="266"/>
      <c r="F34" s="426"/>
      <c r="G34" s="268"/>
      <c r="H34" s="312"/>
      <c r="I34" s="269"/>
      <c r="J34" s="270"/>
      <c r="K34" s="264"/>
      <c r="L34" s="265"/>
      <c r="M34" s="266"/>
      <c r="N34" s="267"/>
      <c r="O34" s="268"/>
      <c r="P34" s="269"/>
      <c r="Q34" s="271" t="str">
        <f>IF(I34&lt;P34,IF(P34="","",IF(S54&lt;T54,R34,IF((H34+(P34-I34)*F30)&lt;10000,ROUNDDOWN(H34+(P34-I34)*F30,-1),ROUNDDOWN(H34+(P34-I34)*F30,-2)))),R34)</f>
        <v/>
      </c>
      <c r="R34" s="410" t="str">
        <f t="shared" si="2"/>
        <v/>
      </c>
      <c r="S34" s="411" t="str">
        <f t="shared" ref="S34:S52" si="3">IF(P34="","",(R34*N34-H34*F34))</f>
        <v/>
      </c>
      <c r="T34" s="410" t="str">
        <f>IF(P34="","",(P34*N34-I34*F34)*F30)</f>
        <v/>
      </c>
    </row>
    <row r="35" spans="1:20" ht="20" customHeight="1">
      <c r="A35" s="262">
        <v>601</v>
      </c>
      <c r="B35" s="263">
        <v>4</v>
      </c>
      <c r="C35" s="264">
        <v>4</v>
      </c>
      <c r="D35" s="265" t="s">
        <v>3002</v>
      </c>
      <c r="E35" s="266" t="s">
        <v>3003</v>
      </c>
      <c r="F35" s="426">
        <v>48</v>
      </c>
      <c r="G35" s="268" t="s">
        <v>184</v>
      </c>
      <c r="H35" s="312">
        <v>256600</v>
      </c>
      <c r="I35" s="269">
        <f>ROUNDDOWN(1088000*F30,-2)</f>
        <v>652800</v>
      </c>
      <c r="J35" s="270">
        <v>4</v>
      </c>
      <c r="K35" s="264">
        <v>4</v>
      </c>
      <c r="L35" s="265" t="s">
        <v>3008</v>
      </c>
      <c r="M35" s="266" t="s">
        <v>3010</v>
      </c>
      <c r="N35" s="267">
        <v>4</v>
      </c>
      <c r="O35" s="268" t="s">
        <v>2995</v>
      </c>
      <c r="P35" s="269">
        <v>435000</v>
      </c>
      <c r="Q35" s="271">
        <f>IF(I35&lt;P35,IF(P35="","",IF(S54&lt;T54,R35,IF((H35+(P35-I35)*F30)&lt;10000,ROUNDDOWN(H35+(P35-I35)*F30,-1),ROUNDDOWN(H35+(P35-I35)*F30,-2)))),R35)</f>
        <v>170900</v>
      </c>
      <c r="R35" s="410">
        <f t="shared" si="2"/>
        <v>170900</v>
      </c>
      <c r="S35" s="411">
        <f t="shared" si="3"/>
        <v>-11633200</v>
      </c>
      <c r="T35" s="410">
        <f>IF(P35="","",(P35*N35-I35*F35)*F30)</f>
        <v>-17756640</v>
      </c>
    </row>
    <row r="36" spans="1:20" ht="20" customHeight="1">
      <c r="A36" s="262"/>
      <c r="B36" s="263"/>
      <c r="C36" s="264"/>
      <c r="D36" s="265"/>
      <c r="E36" s="266" t="s">
        <v>3004</v>
      </c>
      <c r="F36" s="426"/>
      <c r="G36" s="268"/>
      <c r="H36" s="312"/>
      <c r="I36" s="269"/>
      <c r="J36" s="270"/>
      <c r="K36" s="264"/>
      <c r="L36" s="265" t="s">
        <v>3009</v>
      </c>
      <c r="M36" s="266" t="s">
        <v>3025</v>
      </c>
      <c r="N36" s="267"/>
      <c r="O36" s="268"/>
      <c r="P36" s="269"/>
      <c r="Q36" s="271" t="str">
        <f>IF(I36&lt;P36,IF(P36="","",IF(S54&lt;T54,R36,IF((H36+(P36-I36)*F30)&lt;10000,ROUNDDOWN(H36+(P36-I36)*F30,-1),ROUNDDOWN(H36+(P36-I36)*F30,-2)))),R36)</f>
        <v/>
      </c>
      <c r="R36" s="410" t="str">
        <f t="shared" si="2"/>
        <v/>
      </c>
      <c r="S36" s="411" t="str">
        <f t="shared" si="3"/>
        <v/>
      </c>
      <c r="T36" s="410" t="str">
        <f>IF(P36="","",(P36*N36-I36*F36)*F30)</f>
        <v/>
      </c>
    </row>
    <row r="37" spans="1:20" ht="20" customHeight="1">
      <c r="A37" s="262"/>
      <c r="B37" s="263"/>
      <c r="C37" s="264"/>
      <c r="D37" s="265"/>
      <c r="E37" s="266"/>
      <c r="F37" s="426"/>
      <c r="G37" s="268"/>
      <c r="H37" s="312"/>
      <c r="I37" s="269"/>
      <c r="J37" s="270"/>
      <c r="K37" s="264"/>
      <c r="L37" s="265"/>
      <c r="M37" s="266" t="s">
        <v>3011</v>
      </c>
      <c r="N37" s="267"/>
      <c r="O37" s="268"/>
      <c r="P37" s="269"/>
      <c r="Q37" s="271" t="str">
        <f>IF(I37&lt;P37,IF(P37="","",IF(S54&lt;T54,R37,IF((H37+(P37-I37)*F30)&lt;10000,ROUNDDOWN(H37+(P37-I37)*F30,-1),ROUNDDOWN(H37+(P37-I37)*F30,-2)))),R37)</f>
        <v/>
      </c>
      <c r="R37" s="410" t="str">
        <f t="shared" si="2"/>
        <v/>
      </c>
      <c r="S37" s="411" t="str">
        <f t="shared" si="3"/>
        <v/>
      </c>
      <c r="T37" s="410" t="str">
        <f>IF(P37="","",(P37*N37-I37*F37)*F30)</f>
        <v/>
      </c>
    </row>
    <row r="38" spans="1:20" ht="20" customHeight="1">
      <c r="A38" s="262"/>
      <c r="B38" s="263"/>
      <c r="C38" s="264"/>
      <c r="D38" s="265"/>
      <c r="E38" s="266"/>
      <c r="F38" s="426"/>
      <c r="G38" s="268"/>
      <c r="H38" s="312"/>
      <c r="I38" s="269"/>
      <c r="J38" s="270"/>
      <c r="K38" s="264"/>
      <c r="L38" s="265"/>
      <c r="M38" s="266" t="s">
        <v>3012</v>
      </c>
      <c r="N38" s="267"/>
      <c r="O38" s="268"/>
      <c r="P38" s="269"/>
      <c r="Q38" s="271" t="str">
        <f>IF(I38&lt;P38,IF(P38="","",IF(S54&lt;T54,R38,IF((H38+(P38-I38)*F30)&lt;10000,ROUNDDOWN(H38+(P38-I38)*F30,-1),ROUNDDOWN(H38+(P38-I38)*F30,-2)))),R38)</f>
        <v/>
      </c>
      <c r="R38" s="410" t="str">
        <f t="shared" si="2"/>
        <v/>
      </c>
      <c r="S38" s="411" t="str">
        <f t="shared" si="3"/>
        <v/>
      </c>
      <c r="T38" s="410" t="str">
        <f>IF(P38="","",(P38*N38-I38*F38)*F30)</f>
        <v/>
      </c>
    </row>
    <row r="39" spans="1:20" ht="20" customHeight="1">
      <c r="A39" s="262"/>
      <c r="B39" s="263"/>
      <c r="C39" s="264"/>
      <c r="D39" s="265"/>
      <c r="E39" s="266"/>
      <c r="F39" s="426"/>
      <c r="G39" s="268"/>
      <c r="H39" s="312"/>
      <c r="I39" s="269"/>
      <c r="J39" s="270"/>
      <c r="K39" s="264"/>
      <c r="L39" s="265"/>
      <c r="M39" s="266" t="s">
        <v>3013</v>
      </c>
      <c r="N39" s="267"/>
      <c r="O39" s="268"/>
      <c r="P39" s="269"/>
      <c r="Q39" s="271" t="str">
        <f>IF(I39&lt;P39,IF(P39="","",IF(S54&lt;T54,R39,IF((H39+(P39-I39)*F30)&lt;10000,ROUNDDOWN(H39+(P39-I39)*F30,-1),ROUNDDOWN(H39+(P39-I39)*F30,-2)))),R39)</f>
        <v/>
      </c>
      <c r="R39" s="410" t="str">
        <f t="shared" si="2"/>
        <v/>
      </c>
      <c r="S39" s="411" t="str">
        <f t="shared" si="3"/>
        <v/>
      </c>
      <c r="T39" s="410" t="str">
        <f>IF(P39="","",(P39*N39-I39*F39)*F30)</f>
        <v/>
      </c>
    </row>
    <row r="40" spans="1:20" ht="20" customHeight="1">
      <c r="A40" s="262"/>
      <c r="B40" s="263"/>
      <c r="C40" s="264"/>
      <c r="D40" s="265"/>
      <c r="E40" s="266"/>
      <c r="F40" s="426"/>
      <c r="G40" s="268"/>
      <c r="H40" s="312"/>
      <c r="I40" s="269"/>
      <c r="J40" s="270"/>
      <c r="K40" s="264"/>
      <c r="L40" s="265"/>
      <c r="M40" s="266" t="s">
        <v>3014</v>
      </c>
      <c r="N40" s="267"/>
      <c r="O40" s="268"/>
      <c r="P40" s="269"/>
      <c r="Q40" s="271" t="str">
        <f>IF(I40&lt;P40,IF(P40="","",IF(S54&lt;T54,R40,IF((H40+(P40-I40)*F30)&lt;10000,ROUNDDOWN(H40+(P40-I40)*F30,-1),ROUNDDOWN(H40+(P40-I40)*F30,-2)))),R40)</f>
        <v/>
      </c>
      <c r="R40" s="410" t="str">
        <f t="shared" si="2"/>
        <v/>
      </c>
      <c r="S40" s="411" t="str">
        <f t="shared" si="3"/>
        <v/>
      </c>
      <c r="T40" s="410" t="str">
        <f>IF(P40="","",(P40*N40-I40*F40)*F30)</f>
        <v/>
      </c>
    </row>
    <row r="41" spans="1:20" ht="20" customHeight="1">
      <c r="A41" s="262"/>
      <c r="B41" s="263"/>
      <c r="C41" s="264"/>
      <c r="D41" s="265"/>
      <c r="E41" s="266"/>
      <c r="F41" s="426"/>
      <c r="G41" s="268"/>
      <c r="H41" s="312"/>
      <c r="I41" s="269"/>
      <c r="J41" s="270"/>
      <c r="K41" s="264"/>
      <c r="L41" s="265"/>
      <c r="M41" s="266" t="s">
        <v>3015</v>
      </c>
      <c r="N41" s="267"/>
      <c r="O41" s="268"/>
      <c r="P41" s="269"/>
      <c r="Q41" s="271" t="str">
        <f>IF(I41&lt;P41,IF(P41="","",IF(S54&lt;T54,R41,IF((H41+(P41-I41)*F30)&lt;10000,ROUNDDOWN(H41+(P41-I41)*F30,-1),ROUNDDOWN(H41+(P41-I41)*F30,-2)))),R41)</f>
        <v/>
      </c>
      <c r="R41" s="410" t="str">
        <f t="shared" si="2"/>
        <v/>
      </c>
      <c r="S41" s="411" t="str">
        <f t="shared" si="3"/>
        <v/>
      </c>
      <c r="T41" s="410" t="str">
        <f>IF(P41="","",(P41*N41-I41*F41)*F40)</f>
        <v/>
      </c>
    </row>
    <row r="42" spans="1:20" ht="20" customHeight="1">
      <c r="A42" s="262"/>
      <c r="B42" s="263"/>
      <c r="C42" s="264"/>
      <c r="D42" s="265"/>
      <c r="E42" s="266"/>
      <c r="F42" s="426"/>
      <c r="G42" s="268"/>
      <c r="H42" s="312"/>
      <c r="I42" s="269"/>
      <c r="J42" s="270"/>
      <c r="K42" s="264"/>
      <c r="L42" s="265"/>
      <c r="M42" s="266" t="s">
        <v>3016</v>
      </c>
      <c r="N42" s="267"/>
      <c r="O42" s="268"/>
      <c r="P42" s="269"/>
      <c r="Q42" s="271" t="str">
        <f>IF(I42&lt;P42,IF(P42="","",IF(S54&lt;T54,R42,IF((H42+(P42-I42)*F30)&lt;10000,ROUNDDOWN(H42+(P42-I42)*F30,-1),ROUNDDOWN(H42+(P42-I42)*F30,-2)))),R42)</f>
        <v/>
      </c>
      <c r="R42" s="410" t="str">
        <f t="shared" si="2"/>
        <v/>
      </c>
      <c r="S42" s="411" t="str">
        <f t="shared" si="3"/>
        <v/>
      </c>
      <c r="T42" s="410" t="str">
        <f>IF(P42="","",(P42*N42-I42*F42)*F30)</f>
        <v/>
      </c>
    </row>
    <row r="43" spans="1:20" ht="20" customHeight="1">
      <c r="A43" s="262"/>
      <c r="B43" s="263"/>
      <c r="C43" s="264"/>
      <c r="D43" s="265"/>
      <c r="E43" s="266"/>
      <c r="F43" s="426"/>
      <c r="G43" s="268"/>
      <c r="H43" s="312"/>
      <c r="I43" s="269"/>
      <c r="J43" s="270"/>
      <c r="K43" s="264"/>
      <c r="L43" s="265"/>
      <c r="M43" s="266"/>
      <c r="N43" s="267"/>
      <c r="O43" s="268"/>
      <c r="P43" s="269"/>
      <c r="Q43" s="271" t="str">
        <f>IF(I43&lt;P43,IF(P43="","",IF(S54&lt;T54,R43,IF((H43+(P43-I43)*F30)&lt;10000,ROUNDDOWN(H43+(P43-I43)*F30,-1),ROUNDDOWN(H43+(P43-I43)*F30,-2)))),R43)</f>
        <v/>
      </c>
      <c r="R43" s="410" t="str">
        <f t="shared" si="2"/>
        <v/>
      </c>
      <c r="S43" s="411" t="str">
        <f t="shared" si="3"/>
        <v/>
      </c>
      <c r="T43" s="410" t="str">
        <f>IF(P43="","",(P43*N43-I43*F43)*F30)</f>
        <v/>
      </c>
    </row>
    <row r="44" spans="1:20" ht="20" customHeight="1">
      <c r="A44" s="262">
        <v>602</v>
      </c>
      <c r="B44" s="263">
        <v>4</v>
      </c>
      <c r="C44" s="264">
        <v>4</v>
      </c>
      <c r="D44" s="265" t="s">
        <v>3002</v>
      </c>
      <c r="E44" s="266" t="s">
        <v>3003</v>
      </c>
      <c r="F44" s="426">
        <v>48</v>
      </c>
      <c r="G44" s="268" t="s">
        <v>184</v>
      </c>
      <c r="H44" s="312">
        <v>256600</v>
      </c>
      <c r="I44" s="269">
        <f>ROUNDDOWN(1088000*F30,-2)</f>
        <v>652800</v>
      </c>
      <c r="J44" s="270">
        <v>4</v>
      </c>
      <c r="K44" s="264">
        <v>4</v>
      </c>
      <c r="L44" s="265" t="s">
        <v>3021</v>
      </c>
      <c r="M44" s="266" t="s">
        <v>3023</v>
      </c>
      <c r="N44" s="267">
        <v>14</v>
      </c>
      <c r="O44" s="268" t="s">
        <v>2995</v>
      </c>
      <c r="P44" s="269">
        <v>405000</v>
      </c>
      <c r="Q44" s="271">
        <f>IF(I44&lt;P44,IF(P44="","",IF(S54&lt;T54,R44,IF((H44+(P44-I44)*F30)&lt;10000,ROUNDDOWN(H44+(P44-I44)*F30,-1),ROUNDDOWN(H44+(P44-I44)*F30,-2)))),R44)</f>
        <v>159100</v>
      </c>
      <c r="R44" s="410">
        <f t="shared" si="2"/>
        <v>159100</v>
      </c>
      <c r="S44" s="411">
        <f t="shared" si="3"/>
        <v>-10089400</v>
      </c>
      <c r="T44" s="410">
        <f>IF(P44="","",(P44*N44-I44*F44)*F30)</f>
        <v>-15398640</v>
      </c>
    </row>
    <row r="45" spans="1:20" ht="20" customHeight="1">
      <c r="A45" s="262"/>
      <c r="B45" s="263"/>
      <c r="C45" s="264"/>
      <c r="D45" s="265"/>
      <c r="E45" s="266" t="s">
        <v>3004</v>
      </c>
      <c r="F45" s="426"/>
      <c r="G45" s="268"/>
      <c r="H45" s="312"/>
      <c r="I45" s="269"/>
      <c r="J45" s="270"/>
      <c r="K45" s="264"/>
      <c r="L45" s="265" t="s">
        <v>3009</v>
      </c>
      <c r="M45" s="266" t="s">
        <v>3024</v>
      </c>
      <c r="N45" s="267"/>
      <c r="O45" s="268"/>
      <c r="P45" s="269"/>
      <c r="Q45" s="271" t="str">
        <f>IF(I45&lt;P45,IF(P45="","",IF(S54&lt;T54,R45,IF((H45+(P45-I45)*F30)&lt;10000,ROUNDDOWN(H45+(P45-I45)*F30,-1),ROUNDDOWN(H45+(P45-I45)*F30,-2)))),R45)</f>
        <v/>
      </c>
      <c r="R45" s="410" t="str">
        <f t="shared" si="2"/>
        <v/>
      </c>
      <c r="S45" s="411" t="str">
        <f t="shared" si="3"/>
        <v/>
      </c>
      <c r="T45" s="410" t="str">
        <f>IF(P45="","",(P45*N45-I45*F45)*F30)</f>
        <v/>
      </c>
    </row>
    <row r="46" spans="1:20" ht="20" customHeight="1">
      <c r="A46" s="262"/>
      <c r="B46" s="263"/>
      <c r="C46" s="264"/>
      <c r="D46" s="265"/>
      <c r="E46" s="266"/>
      <c r="F46" s="426"/>
      <c r="G46" s="268"/>
      <c r="H46" s="312"/>
      <c r="I46" s="269"/>
      <c r="J46" s="270"/>
      <c r="K46" s="264"/>
      <c r="L46" s="265"/>
      <c r="M46" s="266" t="s">
        <v>3011</v>
      </c>
      <c r="N46" s="267"/>
      <c r="O46" s="268"/>
      <c r="P46" s="269"/>
      <c r="Q46" s="271" t="str">
        <f>IF(I46&lt;P46,IF(P46="","",IF(S54&lt;T54,R46,IF((H46+(P46-I46)*F30)&lt;10000,ROUNDDOWN(H46+(P46-I46)*F30,-1),ROUNDDOWN(H46+(P46-I46)*F30,-2)))),R46)</f>
        <v/>
      </c>
      <c r="R46" s="410" t="str">
        <f t="shared" si="2"/>
        <v/>
      </c>
      <c r="S46" s="411" t="str">
        <f t="shared" si="3"/>
        <v/>
      </c>
      <c r="T46" s="410" t="str">
        <f>IF(P46="","",(P46*N46-I46*F46)*F30)</f>
        <v/>
      </c>
    </row>
    <row r="47" spans="1:20" ht="20" customHeight="1">
      <c r="A47" s="262"/>
      <c r="B47" s="263"/>
      <c r="C47" s="264"/>
      <c r="D47" s="265"/>
      <c r="E47" s="266"/>
      <c r="F47" s="426"/>
      <c r="G47" s="268"/>
      <c r="H47" s="312"/>
      <c r="I47" s="269"/>
      <c r="J47" s="270"/>
      <c r="K47" s="264"/>
      <c r="L47" s="265"/>
      <c r="M47" s="266" t="s">
        <v>3012</v>
      </c>
      <c r="N47" s="267"/>
      <c r="O47" s="268"/>
      <c r="P47" s="269"/>
      <c r="Q47" s="271" t="str">
        <f>IF(I47&lt;P47,IF(P47="","",IF(S54&lt;T54,R47,IF((H47+(P47-I47)*F30)&lt;10000,ROUNDDOWN(H47+(P47-I47)*F30,-1),ROUNDDOWN(H47+(P47-I47)*F30,-2)))),R47)</f>
        <v/>
      </c>
      <c r="R47" s="410" t="str">
        <f t="shared" si="2"/>
        <v/>
      </c>
      <c r="S47" s="411" t="str">
        <f t="shared" si="3"/>
        <v/>
      </c>
      <c r="T47" s="410" t="str">
        <f>IF(P47="","",(P47*N47-I47*F47)*F30)</f>
        <v/>
      </c>
    </row>
    <row r="48" spans="1:20" ht="20" customHeight="1">
      <c r="A48" s="262"/>
      <c r="B48" s="263"/>
      <c r="C48" s="264"/>
      <c r="D48" s="265"/>
      <c r="E48" s="266"/>
      <c r="F48" s="426"/>
      <c r="G48" s="268"/>
      <c r="H48" s="312"/>
      <c r="I48" s="269"/>
      <c r="J48" s="270"/>
      <c r="K48" s="264"/>
      <c r="L48" s="265"/>
      <c r="M48" s="266" t="s">
        <v>3013</v>
      </c>
      <c r="N48" s="267"/>
      <c r="O48" s="268"/>
      <c r="P48" s="269"/>
      <c r="Q48" s="271" t="str">
        <f>IF(I48&lt;P48,IF(P48="","",IF(S54&lt;T54,R48,IF((H48+(P48-I48)*F30)&lt;10000,ROUNDDOWN(H48+(P48-I48)*F30,-1),ROUNDDOWN(H48+(P48-I48)*F30,-2)))),R48)</f>
        <v/>
      </c>
      <c r="R48" s="410" t="str">
        <f t="shared" si="2"/>
        <v/>
      </c>
      <c r="S48" s="411" t="str">
        <f t="shared" si="3"/>
        <v/>
      </c>
      <c r="T48" s="410" t="str">
        <f>IF(P48="","",(P48*N48-I48*F48)*F30)</f>
        <v/>
      </c>
    </row>
    <row r="49" spans="1:20" ht="20" customHeight="1">
      <c r="A49" s="262"/>
      <c r="B49" s="263"/>
      <c r="C49" s="264"/>
      <c r="D49" s="265"/>
      <c r="E49" s="266"/>
      <c r="F49" s="426"/>
      <c r="G49" s="268"/>
      <c r="H49" s="312"/>
      <c r="I49" s="269"/>
      <c r="J49" s="270"/>
      <c r="K49" s="264"/>
      <c r="L49" s="265"/>
      <c r="M49" s="266" t="s">
        <v>3014</v>
      </c>
      <c r="N49" s="267"/>
      <c r="O49" s="268"/>
      <c r="P49" s="269"/>
      <c r="Q49" s="271" t="str">
        <f>IF(I49&lt;P49,IF(P49="","",IF(S54&lt;T54,R49,IF((H49+(P49-I49)*F30)&lt;10000,ROUNDDOWN(H49+(P49-I49)*F30,-1),ROUNDDOWN(H49+(P49-I49)*F30,-2)))),R49)</f>
        <v/>
      </c>
      <c r="R49" s="410" t="str">
        <f t="shared" si="2"/>
        <v/>
      </c>
      <c r="S49" s="411" t="str">
        <f t="shared" si="3"/>
        <v/>
      </c>
      <c r="T49" s="410" t="str">
        <f>IF(P49="","",(P49*N49-I49*F49)*F30)</f>
        <v/>
      </c>
    </row>
    <row r="50" spans="1:20" ht="20" customHeight="1">
      <c r="A50" s="262"/>
      <c r="B50" s="263"/>
      <c r="C50" s="264"/>
      <c r="D50" s="265"/>
      <c r="E50" s="266"/>
      <c r="F50" s="426"/>
      <c r="G50" s="268"/>
      <c r="H50" s="312"/>
      <c r="I50" s="269"/>
      <c r="J50" s="270"/>
      <c r="K50" s="264"/>
      <c r="L50" s="265"/>
      <c r="M50" s="266" t="s">
        <v>3015</v>
      </c>
      <c r="N50" s="267"/>
      <c r="O50" s="268"/>
      <c r="P50" s="269"/>
      <c r="Q50" s="271" t="str">
        <f>IF(I50&lt;P50,IF(P50="","",IF(S54&lt;T54,R50,IF((H50+(P50-I50)*F30)&lt;10000,ROUNDDOWN(H50+(P50-I50)*F30,-1),ROUNDDOWN(H50+(P50-I50)*F30,-2)))),R50)</f>
        <v/>
      </c>
      <c r="R50" s="410" t="str">
        <f t="shared" si="2"/>
        <v/>
      </c>
      <c r="S50" s="411" t="str">
        <f t="shared" si="3"/>
        <v/>
      </c>
      <c r="T50" s="410" t="str">
        <f>IF(P50="","",(P50*N50-I50*F50)*F30)</f>
        <v/>
      </c>
    </row>
    <row r="51" spans="1:20" ht="20" customHeight="1">
      <c r="A51" s="262"/>
      <c r="B51" s="263"/>
      <c r="C51" s="264"/>
      <c r="D51" s="265"/>
      <c r="E51" s="266"/>
      <c r="F51" s="426"/>
      <c r="G51" s="268"/>
      <c r="H51" s="312"/>
      <c r="I51" s="269"/>
      <c r="J51" s="270"/>
      <c r="K51" s="264"/>
      <c r="L51" s="265"/>
      <c r="M51" s="266" t="s">
        <v>3016</v>
      </c>
      <c r="N51" s="267"/>
      <c r="O51" s="268"/>
      <c r="P51" s="269"/>
      <c r="Q51" s="271" t="str">
        <f>IF(I51&lt;P51,IF(P51="","",IF(S54&lt;T54,R51,IF((H51+(P51-I51)*F30)&lt;10000,ROUNDDOWN(H51+(P51-I51)*F30,-1),ROUNDDOWN(H51+(P51-I51)*F30,-2)))),R51)</f>
        <v/>
      </c>
      <c r="R51" s="410" t="str">
        <f t="shared" si="2"/>
        <v/>
      </c>
      <c r="S51" s="411" t="str">
        <f t="shared" si="3"/>
        <v/>
      </c>
      <c r="T51" s="410" t="str">
        <f>IF(P51="","",(P51*N51-I51*F51)*F30)</f>
        <v/>
      </c>
    </row>
    <row r="52" spans="1:20" ht="20" customHeight="1" thickBot="1">
      <c r="A52" s="391"/>
      <c r="B52" s="392"/>
      <c r="C52" s="393"/>
      <c r="D52" s="394"/>
      <c r="E52" s="395"/>
      <c r="F52" s="427"/>
      <c r="G52" s="397"/>
      <c r="H52" s="298"/>
      <c r="I52" s="398"/>
      <c r="J52" s="270"/>
      <c r="K52" s="264"/>
      <c r="L52" s="265"/>
      <c r="M52" s="266"/>
      <c r="N52" s="267"/>
      <c r="O52" s="268"/>
      <c r="P52" s="398"/>
      <c r="Q52" s="271" t="str">
        <f>IF(I52&lt;P52,IF(P52="","",IF(S54&lt;T54,R52,IF((H52+(P52-I52)*F30)&lt;10000,ROUNDDOWN(H52+(P52-I52)*F30,-1),ROUNDDOWN(H52+(P52-I52)*F30,-2)))),R52)</f>
        <v/>
      </c>
      <c r="R52" s="412" t="str">
        <f t="shared" si="2"/>
        <v/>
      </c>
      <c r="S52" s="411" t="str">
        <f t="shared" si="3"/>
        <v/>
      </c>
      <c r="T52" s="410" t="str">
        <f>IF(P52="","",(P52*N52-I52*F52)*F30)</f>
        <v/>
      </c>
    </row>
    <row r="53" spans="1:20" ht="20" customHeight="1" thickBot="1">
      <c r="A53" s="400"/>
      <c r="B53" s="401"/>
      <c r="C53" s="401"/>
      <c r="D53" s="402"/>
      <c r="E53" s="402"/>
      <c r="F53" s="402"/>
      <c r="G53" s="403"/>
      <c r="H53" s="404"/>
      <c r="I53" s="405"/>
      <c r="J53" s="401"/>
      <c r="K53" s="401"/>
      <c r="L53" s="402"/>
      <c r="M53" s="420"/>
      <c r="N53" s="422"/>
      <c r="O53" s="422"/>
      <c r="P53" s="423" t="s">
        <v>284</v>
      </c>
      <c r="Q53" s="419"/>
      <c r="R53" s="406" t="s">
        <v>282</v>
      </c>
      <c r="S53" s="407">
        <f>IF($Q53="",IF(SUM(S33:S52)=0,"",SUM(S33:S52)),IF(S26="","",SUM(S33:S52)+S26))</f>
        <v>-21722600</v>
      </c>
      <c r="T53" s="408">
        <f>IF($Q53="",IF(SUM(T33:T52)=0,"",SUM(T33:T52)),IF(T26="","",SUM(T33:T52)+T26))</f>
        <v>-33155280</v>
      </c>
    </row>
    <row r="54" spans="1:20" ht="20" customHeight="1" thickBot="1">
      <c r="N54" s="20" t="str">
        <f>IF(A58="","EOL","")</f>
        <v>EOL</v>
      </c>
      <c r="O54" s="32">
        <f ca="1">OFFSET(O54,-27,0,1,1)+1</f>
        <v>2</v>
      </c>
      <c r="P54" s="20"/>
      <c r="R54" s="406" t="s">
        <v>285</v>
      </c>
      <c r="S54" s="407">
        <f ca="1">IF(OFFSET(Q53,27,0,1,1)="",S53,OFFSET(S53,27,0,1,1))</f>
        <v>-21722600</v>
      </c>
      <c r="T54" s="408">
        <f ca="1">IF(OFFSET(Q53,27,0,1,1)="",T53,OFFSET(T53,27,0,1,1))</f>
        <v>-33155280</v>
      </c>
    </row>
  </sheetData>
  <mergeCells count="12">
    <mergeCell ref="A28:L28"/>
    <mergeCell ref="N28:P28"/>
    <mergeCell ref="D29:G29"/>
    <mergeCell ref="J29:T29"/>
    <mergeCell ref="F30:G30"/>
    <mergeCell ref="J30:T30"/>
    <mergeCell ref="A1:L1"/>
    <mergeCell ref="N1:P1"/>
    <mergeCell ref="D2:G2"/>
    <mergeCell ref="F3:G3"/>
    <mergeCell ref="J2:T2"/>
    <mergeCell ref="J3:T3"/>
  </mergeCells>
  <phoneticPr fontId="2"/>
  <dataValidations xWindow="413" yWindow="154" count="41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" xr:uid="{00000000-0002-0000-0B00-000000000000}">
      <formula1>IF(SUM(H6:I26)&gt;0,H3=0,TRUE)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6 H33" xr:uid="{00000000-0002-0000-0B00-000001000000}">
      <formula1>IF(SUM(H3:I3)&gt;0,H6=0,TRUE)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6 I33" xr:uid="{00000000-0002-0000-0B00-000002000000}">
      <formula1>IF(SUM(H3:I3)&gt;0,I6=0,TRUE)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7" xr:uid="{00000000-0002-0000-0B00-000003000000}">
      <formula1>IF(SUM(H3:I3)&gt;0,H7=0,TRUE)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7 I34:I35 I44" xr:uid="{00000000-0002-0000-0B00-000004000000}">
      <formula1>IF(SUM(H3:I3)&gt;0,I7=0,TRUE)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8" xr:uid="{00000000-0002-0000-0B00-000005000000}">
      <formula1>IF(SUM(H3:I3)&gt;0,I8=0,TRUE)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8" xr:uid="{00000000-0002-0000-0B00-000006000000}">
      <formula1>IF(SUM(H3:I3)&gt;0,H8=0,TRUE)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9" xr:uid="{00000000-0002-0000-0B00-000007000000}">
      <formula1>IF(SUM(H3:I3)&gt;0,H9=0,TRUE)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9 I36 I45" xr:uid="{00000000-0002-0000-0B00-000008000000}">
      <formula1>IF(SUM(H3:I3)&gt;0,I9=0,TRUE)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0" xr:uid="{00000000-0002-0000-0B00-000009000000}">
      <formula1>IF(SUM(H3:I3)&gt;0,H10=0,TRUE)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0 I37" xr:uid="{00000000-0002-0000-0B00-00000A000000}">
      <formula1>IF(SUM(H3:I3)&gt;0,I10=0,TRUE)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 H16 H34" xr:uid="{00000000-0002-0000-0B00-00000B000000}">
      <formula1>IF(SUM(H3:I3)&gt;0,H11=0,TRUE)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 I16 I38" xr:uid="{00000000-0002-0000-0B00-00000C000000}">
      <formula1>IF(SUM(H3:I3)&gt;0,I11=0,TRUE)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 H17 H38:H39 H35 H44" xr:uid="{00000000-0002-0000-0B00-00000D000000}">
      <formula1>IF(SUM(H3:I3)&gt;0,H12=0,TRUE)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 I17 I39" xr:uid="{00000000-0002-0000-0B00-00000E000000}">
      <formula1>IF(SUM(H3:I3)&gt;0,I12=0,TRUE)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 H18 H40 H36 H45" xr:uid="{00000000-0002-0000-0B00-00000F000000}">
      <formula1>IF(SUM(H3:I3)&gt;0,H13=0,TRUE)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 I18 I40" xr:uid="{00000000-0002-0000-0B00-000010000000}">
      <formula1>IF(SUM(H3:I3)&gt;0,I13=0,TRUE)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4 H19 H41 H37" xr:uid="{00000000-0002-0000-0B00-000011000000}">
      <formula1>IF(SUM(H3:I3)&gt;0,H14=0,TRUE)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4 I19 I41" xr:uid="{00000000-0002-0000-0B00-000012000000}">
      <formula1>IF(SUM(H3:I3)&gt;0,I14=0,TRUE)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5 H42" xr:uid="{00000000-0002-0000-0B00-000013000000}">
      <formula1>IF(SUM(H3:I3)&gt;0,H15=0,TRUE)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5 I42" xr:uid="{00000000-0002-0000-0B00-000014000000}">
      <formula1>IF(SUM(H3:I3)&gt;0,I15=0,TRUE)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0 H47" xr:uid="{00000000-0002-0000-0B00-000015000000}">
      <formula1>IF(SUM(H3:I3)&gt;0,H20=0,TRUE)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0 I47" xr:uid="{00000000-0002-0000-0B00-000016000000}">
      <formula1>IF(SUM(H3:I3)&gt;0,I20=0,TRUE)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1 H48" xr:uid="{00000000-0002-0000-0B00-000017000000}">
      <formula1>IF(SUM(H3:I3)&gt;0,H21=0,TRUE)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1 I48" xr:uid="{00000000-0002-0000-0B00-000018000000}">
      <formula1>IF(SUM(H3:I3)&gt;0,I21=0,TRUE)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2 H49" xr:uid="{00000000-0002-0000-0B00-000019000000}">
      <formula1>IF(SUM(H3:I3)&gt;0,H22=0,TRUE)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2 I49" xr:uid="{00000000-0002-0000-0B00-00001A000000}">
      <formula1>IF(SUM(H3:I3)&gt;0,I22=0,TRUE)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3 H50" xr:uid="{00000000-0002-0000-0B00-00001B000000}">
      <formula1>IF(SUM(H3:I3)&gt;0,H23=0,TRUE)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3 I50" xr:uid="{00000000-0002-0000-0B00-00001C000000}">
      <formula1>IF(SUM(H3:I3)&gt;0,I23=0,TRUE)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4 H51" xr:uid="{00000000-0002-0000-0B00-00001D000000}">
      <formula1>IF(SUM(H3:I3)&gt;0,H24=0,TRUE)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4 I51" xr:uid="{00000000-0002-0000-0B00-00001E000000}">
      <formula1>IF(SUM(H3:I3)&gt;0,I24=0,TRUE)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5 H52" xr:uid="{00000000-0002-0000-0B00-00001F000000}">
      <formula1>IF(SUM(H3:I3)&gt;0,H25=0,TRUE)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5 I52" xr:uid="{00000000-0002-0000-0B00-000020000000}">
      <formula1>IF(SUM(H3:I3)&gt;0,I25=0,TRUE)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26 H53" xr:uid="{00000000-0002-0000-0B00-000021000000}">
      <formula1>IF(SUM(H3:I3)&gt;0,H26=0,TRUE)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26 I53" xr:uid="{00000000-0002-0000-0B00-000022000000}">
      <formula1>IF(SUM(H3:I3)&gt;0,I26=0,TRUE)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3 I30" xr:uid="{00000000-0002-0000-0B00-000023000000}">
      <formula1>IF(SUM(H6:I26)&gt;0,I3=0,TRUE)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6" xr:uid="{00000000-0002-0000-0B00-000024000000}">
      <formula1>IF(SUM(H30:I30)&gt;0,I46=0,TRUE)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6" xr:uid="{00000000-0002-0000-0B00-000025000000}">
      <formula1>IF(SUM(H30:I30)&gt;0,H46=0,TRUE)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43" xr:uid="{00000000-0002-0000-0B00-000026000000}">
      <formula1>IF(SUM(H30:I30)&gt;0,I43=0,TRUE)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43" xr:uid="{00000000-0002-0000-0B00-000027000000}">
      <formula1>IF(SUM(H30:I30)&gt;0,H43=0,TRUE)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30" xr:uid="{00000000-0002-0000-0B00-000028000000}">
      <formula1>IF(SUM(H33:I53)&gt;0,H30=0,TRUE)</formula1>
    </dataValidation>
  </dataValidations>
  <pageMargins left="0.196850393700787" right="0.196850393700787" top="0.78740157480314998" bottom="0.196850393700787" header="0.511811023622047" footer="0.511811023622047"/>
  <pageSetup paperSize="9" orientation="landscape" horizontalDpi="300" verticalDpi="300" r:id="rId1"/>
  <headerFooter alignWithMargins="0"/>
  <rowBreaks count="1" manualBreakCount="1">
    <brk id="27" max="1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AE21"/>
  <sheetViews>
    <sheetView topLeftCell="B1" zoomScaleNormal="100" workbookViewId="0">
      <selection activeCell="D19" sqref="D19"/>
    </sheetView>
  </sheetViews>
  <sheetFormatPr baseColWidth="10" defaultColWidth="9" defaultRowHeight="13"/>
  <cols>
    <col min="1" max="1" width="2.6640625" style="159" hidden="1" customWidth="1"/>
    <col min="2" max="2" width="19.33203125" style="81" customWidth="1"/>
    <col min="3" max="3" width="22.5" style="81" customWidth="1"/>
    <col min="4" max="4" width="5.1640625" style="81" customWidth="1"/>
    <col min="5" max="5" width="5.1640625" style="93" customWidth="1"/>
    <col min="6" max="22" width="5.1640625" style="81" customWidth="1"/>
    <col min="23" max="27" width="4.6640625" style="81" customWidth="1"/>
    <col min="28" max="16384" width="9" style="81"/>
  </cols>
  <sheetData>
    <row r="1" spans="1:31" ht="15" customHeight="1">
      <c r="B1" s="174" t="s">
        <v>141</v>
      </c>
      <c r="F1" s="159"/>
      <c r="G1" s="359"/>
      <c r="H1" s="360"/>
      <c r="I1" s="360"/>
      <c r="J1" s="361"/>
      <c r="K1" s="362" t="s">
        <v>287</v>
      </c>
      <c r="L1" s="363" t="s">
        <v>288</v>
      </c>
      <c r="M1" s="363" t="s">
        <v>289</v>
      </c>
      <c r="N1" s="364" t="s">
        <v>290</v>
      </c>
      <c r="O1" s="365"/>
      <c r="P1" s="366"/>
      <c r="Q1" s="366"/>
      <c r="R1" s="367"/>
      <c r="S1" s="362" t="s">
        <v>287</v>
      </c>
      <c r="T1" s="363" t="s">
        <v>288</v>
      </c>
      <c r="U1" s="363" t="s">
        <v>289</v>
      </c>
      <c r="V1" s="364" t="s">
        <v>290</v>
      </c>
      <c r="W1" s="368"/>
    </row>
    <row r="2" spans="1:31" ht="15" customHeight="1">
      <c r="B2" s="174"/>
      <c r="E2" s="369"/>
      <c r="G2" s="2774" t="s">
        <v>291</v>
      </c>
      <c r="H2" s="2775"/>
      <c r="I2" s="2775"/>
      <c r="J2" s="2776"/>
      <c r="K2" s="370">
        <f>+H9+L9</f>
        <v>0</v>
      </c>
      <c r="L2" s="371">
        <f>+I9+M9</f>
        <v>0</v>
      </c>
      <c r="M2" s="371">
        <f>+J9+N9</f>
        <v>0</v>
      </c>
      <c r="N2" s="372">
        <f>+K9+O9</f>
        <v>0</v>
      </c>
      <c r="O2" s="2777" t="s">
        <v>268</v>
      </c>
      <c r="P2" s="2778"/>
      <c r="Q2" s="2778"/>
      <c r="R2" s="2779"/>
      <c r="S2" s="370">
        <f>+P9+T9+X9</f>
        <v>0</v>
      </c>
      <c r="T2" s="371">
        <f>+Q9+U9+Y9</f>
        <v>0</v>
      </c>
      <c r="U2" s="371">
        <f>+R9+V9+Z9</f>
        <v>0</v>
      </c>
      <c r="V2" s="372">
        <f>+S9+W9+AA9</f>
        <v>0</v>
      </c>
      <c r="W2" s="373"/>
    </row>
    <row r="3" spans="1:31" ht="15" customHeight="1">
      <c r="B3" s="174"/>
      <c r="E3" s="369"/>
      <c r="G3" s="2783" t="s">
        <v>292</v>
      </c>
      <c r="H3" s="2784"/>
      <c r="I3" s="2784"/>
      <c r="J3" s="2785"/>
      <c r="K3" s="374">
        <f>+H9</f>
        <v>0</v>
      </c>
      <c r="L3" s="375">
        <f>+I9</f>
        <v>0</v>
      </c>
      <c r="M3" s="375">
        <f>+J9</f>
        <v>0</v>
      </c>
      <c r="N3" s="376">
        <f>+K9</f>
        <v>0</v>
      </c>
      <c r="O3" s="2786" t="s">
        <v>269</v>
      </c>
      <c r="P3" s="2787"/>
      <c r="Q3" s="2787"/>
      <c r="R3" s="2788"/>
      <c r="S3" s="374">
        <f>+P9</f>
        <v>0</v>
      </c>
      <c r="T3" s="375">
        <f>+Q9</f>
        <v>0</v>
      </c>
      <c r="U3" s="375">
        <f>+R9</f>
        <v>0</v>
      </c>
      <c r="V3" s="376">
        <f>+S9</f>
        <v>0</v>
      </c>
      <c r="W3" s="373"/>
    </row>
    <row r="4" spans="1:31" ht="15" customHeight="1">
      <c r="B4" s="174"/>
      <c r="E4" s="369"/>
      <c r="G4" s="2783" t="s">
        <v>293</v>
      </c>
      <c r="H4" s="2784"/>
      <c r="I4" s="2784"/>
      <c r="J4" s="2785"/>
      <c r="K4" s="374">
        <f>+L9</f>
        <v>0</v>
      </c>
      <c r="L4" s="375">
        <f>+M9</f>
        <v>0</v>
      </c>
      <c r="M4" s="375">
        <f>+N9</f>
        <v>0</v>
      </c>
      <c r="N4" s="376">
        <f>+O9</f>
        <v>0</v>
      </c>
      <c r="O4" s="2786" t="s">
        <v>270</v>
      </c>
      <c r="P4" s="2787"/>
      <c r="Q4" s="2787"/>
      <c r="R4" s="2788"/>
      <c r="S4" s="374">
        <f>+T9</f>
        <v>0</v>
      </c>
      <c r="T4" s="375">
        <f>+U9</f>
        <v>0</v>
      </c>
      <c r="U4" s="375">
        <f>+V9</f>
        <v>0</v>
      </c>
      <c r="V4" s="376">
        <f>+W9</f>
        <v>0</v>
      </c>
      <c r="W4" s="373"/>
    </row>
    <row r="5" spans="1:31" ht="15" customHeight="1">
      <c r="B5" s="174"/>
      <c r="E5" s="369"/>
      <c r="G5" s="2780"/>
      <c r="H5" s="2781"/>
      <c r="I5" s="2781"/>
      <c r="J5" s="2782"/>
      <c r="K5" s="377"/>
      <c r="L5" s="377"/>
      <c r="M5" s="377"/>
      <c r="N5" s="377"/>
      <c r="O5" s="2780" t="s">
        <v>294</v>
      </c>
      <c r="P5" s="2781"/>
      <c r="Q5" s="2781"/>
      <c r="R5" s="2782"/>
      <c r="S5" s="377">
        <f>X9</f>
        <v>0</v>
      </c>
      <c r="T5" s="377">
        <f>Y9</f>
        <v>0</v>
      </c>
      <c r="U5" s="377">
        <f>Z9</f>
        <v>0</v>
      </c>
      <c r="V5" s="378">
        <f>AA9</f>
        <v>0</v>
      </c>
      <c r="W5" s="373"/>
      <c r="AB5" s="384"/>
      <c r="AC5" s="384"/>
      <c r="AD5" s="384"/>
      <c r="AE5" s="384"/>
    </row>
    <row r="6" spans="1:31" ht="7.5" customHeight="1">
      <c r="B6" s="174"/>
      <c r="E6" s="379"/>
      <c r="F6" s="380"/>
      <c r="G6" s="381"/>
      <c r="H6" s="381"/>
      <c r="I6" s="381"/>
      <c r="J6" s="381"/>
      <c r="K6" s="382"/>
      <c r="L6" s="380"/>
      <c r="M6" s="380"/>
      <c r="N6" s="380"/>
      <c r="O6" s="380"/>
      <c r="P6" s="380"/>
      <c r="Q6" s="380"/>
      <c r="R6" s="380"/>
      <c r="S6" s="383"/>
      <c r="T6" s="383"/>
      <c r="U6" s="383"/>
      <c r="V6" s="383"/>
      <c r="W6" s="373"/>
    </row>
    <row r="7" spans="1:31" ht="15" customHeight="1">
      <c r="B7" s="166"/>
      <c r="C7" s="167"/>
      <c r="D7" s="168"/>
      <c r="E7" s="181"/>
      <c r="F7" s="428"/>
      <c r="G7" s="429"/>
      <c r="H7" s="2765" t="s">
        <v>263</v>
      </c>
      <c r="I7" s="2766"/>
      <c r="J7" s="2766"/>
      <c r="K7" s="2767"/>
      <c r="L7" s="2765" t="s">
        <v>295</v>
      </c>
      <c r="M7" s="2766"/>
      <c r="N7" s="2766"/>
      <c r="O7" s="2767"/>
      <c r="P7" s="2765" t="s">
        <v>296</v>
      </c>
      <c r="Q7" s="2766"/>
      <c r="R7" s="2766"/>
      <c r="S7" s="2767"/>
      <c r="T7" s="2765" t="s">
        <v>271</v>
      </c>
      <c r="U7" s="2766"/>
      <c r="V7" s="2766"/>
      <c r="W7" s="2767"/>
      <c r="X7" s="2765" t="s">
        <v>297</v>
      </c>
      <c r="Y7" s="2766"/>
      <c r="Z7" s="2766"/>
      <c r="AA7" s="2767"/>
    </row>
    <row r="8" spans="1:31">
      <c r="B8" s="165" t="s">
        <v>67</v>
      </c>
      <c r="C8" s="146" t="s">
        <v>68</v>
      </c>
      <c r="D8" s="162" t="s">
        <v>21</v>
      </c>
      <c r="E8" s="182" t="s">
        <v>69</v>
      </c>
      <c r="F8" s="430" t="s">
        <v>142</v>
      </c>
      <c r="G8" s="431" t="s">
        <v>298</v>
      </c>
      <c r="H8" s="163" t="s">
        <v>287</v>
      </c>
      <c r="I8" s="58" t="s">
        <v>288</v>
      </c>
      <c r="J8" s="58" t="s">
        <v>289</v>
      </c>
      <c r="K8" s="164" t="s">
        <v>290</v>
      </c>
      <c r="L8" s="163" t="s">
        <v>287</v>
      </c>
      <c r="M8" s="58" t="s">
        <v>288</v>
      </c>
      <c r="N8" s="58" t="s">
        <v>289</v>
      </c>
      <c r="O8" s="164" t="s">
        <v>290</v>
      </c>
      <c r="P8" s="163" t="s">
        <v>287</v>
      </c>
      <c r="Q8" s="58" t="s">
        <v>288</v>
      </c>
      <c r="R8" s="58" t="s">
        <v>289</v>
      </c>
      <c r="S8" s="164" t="s">
        <v>290</v>
      </c>
      <c r="T8" s="163" t="s">
        <v>287</v>
      </c>
      <c r="U8" s="58" t="s">
        <v>288</v>
      </c>
      <c r="V8" s="58" t="s">
        <v>289</v>
      </c>
      <c r="W8" s="164" t="s">
        <v>290</v>
      </c>
      <c r="X8" s="163" t="s">
        <v>287</v>
      </c>
      <c r="Y8" s="58" t="s">
        <v>288</v>
      </c>
      <c r="Z8" s="58" t="s">
        <v>289</v>
      </c>
      <c r="AA8" s="164" t="s">
        <v>290</v>
      </c>
    </row>
    <row r="9" spans="1:31" s="172" customFormat="1" ht="11.25" customHeight="1">
      <c r="A9" s="169"/>
      <c r="B9" s="170"/>
      <c r="C9" s="171"/>
      <c r="D9" s="173"/>
      <c r="E9" s="357" t="s">
        <v>299</v>
      </c>
      <c r="F9" s="432" t="s">
        <v>300</v>
      </c>
      <c r="G9" s="433"/>
      <c r="H9" s="193">
        <f t="shared" ref="H9:W9" si="0">SUM(H10:H12)</f>
        <v>0</v>
      </c>
      <c r="I9" s="194">
        <f t="shared" si="0"/>
        <v>0</v>
      </c>
      <c r="J9" s="194">
        <f t="shared" si="0"/>
        <v>0</v>
      </c>
      <c r="K9" s="195">
        <f t="shared" si="0"/>
        <v>0</v>
      </c>
      <c r="L9" s="193">
        <f t="shared" si="0"/>
        <v>0</v>
      </c>
      <c r="M9" s="194">
        <f t="shared" si="0"/>
        <v>0</v>
      </c>
      <c r="N9" s="194">
        <f t="shared" si="0"/>
        <v>0</v>
      </c>
      <c r="O9" s="195">
        <f t="shared" si="0"/>
        <v>0</v>
      </c>
      <c r="P9" s="193">
        <f t="shared" si="0"/>
        <v>0</v>
      </c>
      <c r="Q9" s="194">
        <f t="shared" si="0"/>
        <v>0</v>
      </c>
      <c r="R9" s="194">
        <f t="shared" si="0"/>
        <v>0</v>
      </c>
      <c r="S9" s="195">
        <f t="shared" si="0"/>
        <v>0</v>
      </c>
      <c r="T9" s="194">
        <f t="shared" si="0"/>
        <v>0</v>
      </c>
      <c r="U9" s="194">
        <f t="shared" si="0"/>
        <v>0</v>
      </c>
      <c r="V9" s="194">
        <f t="shared" si="0"/>
        <v>0</v>
      </c>
      <c r="W9" s="195">
        <f t="shared" si="0"/>
        <v>0</v>
      </c>
      <c r="X9" s="194">
        <f t="shared" ref="X9:AA9" si="1">SUM(X10:X12)</f>
        <v>0</v>
      </c>
      <c r="Y9" s="194">
        <f t="shared" si="1"/>
        <v>0</v>
      </c>
      <c r="Z9" s="194">
        <f t="shared" si="1"/>
        <v>0</v>
      </c>
      <c r="AA9" s="195">
        <f t="shared" si="1"/>
        <v>0</v>
      </c>
    </row>
    <row r="10" spans="1:31" s="172" customFormat="1" ht="11.25" customHeight="1">
      <c r="B10" s="184"/>
      <c r="C10" s="185"/>
      <c r="D10" s="186"/>
      <c r="E10" s="188"/>
      <c r="F10" s="434"/>
      <c r="G10" s="435"/>
      <c r="H10" s="196"/>
      <c r="I10" s="197"/>
      <c r="J10" s="197"/>
      <c r="K10" s="198"/>
      <c r="L10" s="196"/>
      <c r="M10" s="197"/>
      <c r="N10" s="197"/>
      <c r="O10" s="198"/>
      <c r="P10" s="196"/>
      <c r="Q10" s="197"/>
      <c r="R10" s="197"/>
      <c r="S10" s="198"/>
      <c r="T10" s="196"/>
      <c r="U10" s="197"/>
      <c r="V10" s="197"/>
      <c r="W10" s="198"/>
      <c r="X10" s="196"/>
      <c r="Y10" s="197"/>
      <c r="Z10" s="197"/>
      <c r="AA10" s="198"/>
    </row>
    <row r="11" spans="1:31" s="172" customFormat="1" ht="11.25" customHeight="1">
      <c r="A11" s="159" t="s">
        <v>301</v>
      </c>
      <c r="B11" s="178"/>
      <c r="C11" s="179"/>
      <c r="D11" s="180"/>
      <c r="E11" s="189"/>
      <c r="F11" s="436"/>
      <c r="G11" s="437"/>
      <c r="H11" s="199">
        <f>D11*E11</f>
        <v>0</v>
      </c>
      <c r="I11" s="200"/>
      <c r="J11" s="200"/>
      <c r="K11" s="201"/>
      <c r="L11" s="199"/>
      <c r="M11" s="200"/>
      <c r="N11" s="200"/>
      <c r="O11" s="201"/>
      <c r="P11" s="199"/>
      <c r="Q11" s="200"/>
      <c r="R11" s="200"/>
      <c r="S11" s="201"/>
      <c r="T11" s="199"/>
      <c r="U11" s="200"/>
      <c r="V11" s="200"/>
      <c r="W11" s="201"/>
      <c r="X11" s="199"/>
      <c r="Y11" s="200"/>
      <c r="Z11" s="200"/>
      <c r="AA11" s="201"/>
    </row>
    <row r="12" spans="1:31">
      <c r="A12" s="81"/>
      <c r="B12" s="176"/>
      <c r="C12" s="177"/>
      <c r="D12" s="183"/>
      <c r="E12" s="190"/>
      <c r="F12" s="438"/>
      <c r="G12" s="439"/>
      <c r="H12" s="202"/>
      <c r="I12" s="203"/>
      <c r="J12" s="203"/>
      <c r="K12" s="204"/>
      <c r="L12" s="202"/>
      <c r="M12" s="203"/>
      <c r="N12" s="203"/>
      <c r="O12" s="204"/>
      <c r="P12" s="202"/>
      <c r="Q12" s="203"/>
      <c r="R12" s="203"/>
      <c r="S12" s="204"/>
      <c r="T12" s="202"/>
      <c r="U12" s="203"/>
      <c r="V12" s="203"/>
      <c r="W12" s="204"/>
      <c r="X12" s="202"/>
      <c r="Y12" s="203"/>
      <c r="Z12" s="203"/>
      <c r="AA12" s="204"/>
    </row>
    <row r="13" spans="1:31" ht="14">
      <c r="B13" s="175" t="s">
        <v>140</v>
      </c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31" ht="15" customHeight="1">
      <c r="B14" s="166" t="s">
        <v>138</v>
      </c>
      <c r="C14" s="167"/>
      <c r="D14" s="168"/>
      <c r="E14" s="2768" t="s">
        <v>127</v>
      </c>
      <c r="F14" s="2769"/>
      <c r="G14" s="2769"/>
      <c r="H14" s="2769"/>
      <c r="I14" s="2769"/>
      <c r="J14" s="2769"/>
      <c r="K14" s="2769"/>
      <c r="L14" s="2769"/>
      <c r="M14" s="2769"/>
      <c r="N14" s="2769"/>
      <c r="O14" s="2769"/>
      <c r="P14" s="2769"/>
      <c r="Q14" s="2769"/>
      <c r="R14" s="2770"/>
      <c r="S14" s="2771"/>
      <c r="T14" s="2765" t="s">
        <v>302</v>
      </c>
      <c r="U14" s="2772"/>
      <c r="V14" s="2772"/>
      <c r="W14" s="2773"/>
    </row>
    <row r="15" spans="1:31" ht="13.5" customHeight="1">
      <c r="B15" s="233"/>
      <c r="C15" s="234"/>
      <c r="D15" s="235"/>
      <c r="E15" s="277" t="s">
        <v>303</v>
      </c>
      <c r="F15" s="278" t="s">
        <v>304</v>
      </c>
      <c r="G15" s="278" t="s">
        <v>211</v>
      </c>
      <c r="H15" s="278" t="s">
        <v>211</v>
      </c>
      <c r="I15" s="278" t="s">
        <v>305</v>
      </c>
      <c r="J15" s="279" t="s">
        <v>306</v>
      </c>
      <c r="K15" s="281" t="s">
        <v>221</v>
      </c>
      <c r="L15" s="278" t="s">
        <v>123</v>
      </c>
      <c r="M15" s="278" t="s">
        <v>222</v>
      </c>
      <c r="N15" s="278" t="s">
        <v>307</v>
      </c>
      <c r="O15" s="282" t="s">
        <v>223</v>
      </c>
      <c r="P15" s="283" t="s">
        <v>225</v>
      </c>
      <c r="Q15" s="440" t="s">
        <v>122</v>
      </c>
      <c r="R15" s="441" t="s">
        <v>214</v>
      </c>
      <c r="S15" s="442" t="s">
        <v>215</v>
      </c>
      <c r="T15" s="443" t="s">
        <v>128</v>
      </c>
      <c r="U15" s="278" t="s">
        <v>131</v>
      </c>
      <c r="V15" s="441" t="s">
        <v>308</v>
      </c>
      <c r="W15" s="442" t="s">
        <v>130</v>
      </c>
    </row>
    <row r="16" spans="1:31" ht="12.75" customHeight="1">
      <c r="B16" s="165" t="s">
        <v>67</v>
      </c>
      <c r="C16" s="146" t="s">
        <v>68</v>
      </c>
      <c r="D16" s="161" t="s">
        <v>21</v>
      </c>
      <c r="E16" s="358"/>
      <c r="F16" s="280"/>
      <c r="G16" s="280" t="s">
        <v>218</v>
      </c>
      <c r="H16" s="280" t="s">
        <v>219</v>
      </c>
      <c r="I16" s="280"/>
      <c r="J16" s="280" t="s">
        <v>220</v>
      </c>
      <c r="K16" s="280" t="s">
        <v>309</v>
      </c>
      <c r="L16" s="280"/>
      <c r="M16" s="280" t="s">
        <v>272</v>
      </c>
      <c r="N16" s="280" t="s">
        <v>273</v>
      </c>
      <c r="O16" s="280" t="s">
        <v>224</v>
      </c>
      <c r="P16" s="280" t="s">
        <v>226</v>
      </c>
      <c r="Q16" s="444" t="s">
        <v>274</v>
      </c>
      <c r="R16" s="235" t="s">
        <v>310</v>
      </c>
      <c r="S16" s="445" t="s">
        <v>310</v>
      </c>
      <c r="T16" s="446"/>
      <c r="U16" s="234"/>
      <c r="V16" s="447"/>
      <c r="W16" s="445"/>
    </row>
    <row r="17" spans="1:23" s="172" customFormat="1">
      <c r="A17" s="169"/>
      <c r="B17" s="170"/>
      <c r="C17" s="171"/>
      <c r="D17" s="173"/>
      <c r="E17" s="193">
        <f t="shared" ref="E17:W17" si="2">SUM(E18:E24)</f>
        <v>0</v>
      </c>
      <c r="F17" s="194">
        <f t="shared" si="2"/>
        <v>0</v>
      </c>
      <c r="G17" s="194">
        <f t="shared" si="2"/>
        <v>0</v>
      </c>
      <c r="H17" s="194">
        <f t="shared" si="2"/>
        <v>0</v>
      </c>
      <c r="I17" s="194">
        <f t="shared" si="2"/>
        <v>0</v>
      </c>
      <c r="J17" s="194">
        <f t="shared" si="2"/>
        <v>0</v>
      </c>
      <c r="K17" s="194">
        <f t="shared" si="2"/>
        <v>0</v>
      </c>
      <c r="L17" s="194">
        <f t="shared" si="2"/>
        <v>0</v>
      </c>
      <c r="M17" s="194">
        <f>SUM(M18:M24)</f>
        <v>0</v>
      </c>
      <c r="N17" s="194">
        <f t="shared" si="2"/>
        <v>0</v>
      </c>
      <c r="O17" s="286">
        <f t="shared" si="2"/>
        <v>0</v>
      </c>
      <c r="P17" s="194">
        <f t="shared" si="2"/>
        <v>0</v>
      </c>
      <c r="Q17" s="448">
        <f t="shared" si="2"/>
        <v>0</v>
      </c>
      <c r="R17" s="194">
        <f t="shared" si="2"/>
        <v>0</v>
      </c>
      <c r="S17" s="195">
        <f t="shared" si="2"/>
        <v>0</v>
      </c>
      <c r="T17" s="449">
        <f t="shared" si="2"/>
        <v>0</v>
      </c>
      <c r="U17" s="194">
        <f t="shared" si="2"/>
        <v>0</v>
      </c>
      <c r="V17" s="448">
        <f t="shared" si="2"/>
        <v>0</v>
      </c>
      <c r="W17" s="195">
        <f t="shared" si="2"/>
        <v>0</v>
      </c>
    </row>
    <row r="18" spans="1:23" s="172" customFormat="1" ht="11.25" customHeight="1">
      <c r="B18" s="178"/>
      <c r="C18" s="179"/>
      <c r="D18" s="180"/>
      <c r="E18" s="199"/>
      <c r="F18" s="200"/>
      <c r="G18" s="200"/>
      <c r="H18" s="200"/>
      <c r="I18" s="200"/>
      <c r="J18" s="200"/>
      <c r="K18" s="200"/>
      <c r="L18" s="200"/>
      <c r="M18" s="200"/>
      <c r="N18" s="200"/>
      <c r="O18" s="284"/>
      <c r="P18" s="200"/>
      <c r="Q18" s="450"/>
      <c r="R18" s="200"/>
      <c r="S18" s="201"/>
      <c r="T18" s="451"/>
      <c r="U18" s="200"/>
      <c r="V18" s="450"/>
      <c r="W18" s="452"/>
    </row>
    <row r="19" spans="1:23" s="172" customFormat="1" ht="11.25" customHeight="1">
      <c r="A19" s="159" t="s">
        <v>275</v>
      </c>
      <c r="B19" s="178"/>
      <c r="C19" s="179"/>
      <c r="D19" s="180"/>
      <c r="E19" s="199"/>
      <c r="F19" s="200"/>
      <c r="G19" s="200"/>
      <c r="H19" s="200"/>
      <c r="I19" s="200"/>
      <c r="J19" s="200"/>
      <c r="K19" s="200"/>
      <c r="L19" s="200"/>
      <c r="M19" s="200"/>
      <c r="N19" s="200"/>
      <c r="O19" s="284"/>
      <c r="P19" s="200"/>
      <c r="Q19" s="450"/>
      <c r="R19" s="200"/>
      <c r="S19" s="201"/>
      <c r="T19" s="451"/>
      <c r="U19" s="200">
        <f>$D19*O19</f>
        <v>0</v>
      </c>
      <c r="V19" s="450">
        <f>$D19*P19</f>
        <v>0</v>
      </c>
      <c r="W19" s="453"/>
    </row>
    <row r="20" spans="1:23">
      <c r="A20" s="81"/>
      <c r="B20" s="176"/>
      <c r="C20" s="177"/>
      <c r="D20" s="183"/>
      <c r="E20" s="202"/>
      <c r="F20" s="203"/>
      <c r="G20" s="203"/>
      <c r="H20" s="285"/>
      <c r="I20" s="285"/>
      <c r="J20" s="285"/>
      <c r="K20" s="285"/>
      <c r="L20" s="285"/>
      <c r="M20" s="285"/>
      <c r="N20" s="285"/>
      <c r="O20" s="285"/>
      <c r="P20" s="285"/>
      <c r="Q20" s="454"/>
      <c r="R20" s="203"/>
      <c r="S20" s="204"/>
      <c r="T20" s="455"/>
      <c r="U20" s="203">
        <f>$D20*O20</f>
        <v>0</v>
      </c>
      <c r="V20" s="456">
        <f>$D20*P20</f>
        <v>0</v>
      </c>
      <c r="W20" s="457"/>
    </row>
    <row r="21" spans="1:23">
      <c r="E21" s="81"/>
    </row>
  </sheetData>
  <mergeCells count="15">
    <mergeCell ref="X7:AA7"/>
    <mergeCell ref="E14:S14"/>
    <mergeCell ref="T14:W14"/>
    <mergeCell ref="G2:J2"/>
    <mergeCell ref="O2:R2"/>
    <mergeCell ref="G5:J5"/>
    <mergeCell ref="O5:R5"/>
    <mergeCell ref="G3:J3"/>
    <mergeCell ref="O3:R3"/>
    <mergeCell ref="G4:J4"/>
    <mergeCell ref="O4:R4"/>
    <mergeCell ref="H7:K7"/>
    <mergeCell ref="L7:O7"/>
    <mergeCell ref="P7:S7"/>
    <mergeCell ref="T7:W7"/>
  </mergeCells>
  <phoneticPr fontId="2"/>
  <pageMargins left="0.19685039370078741" right="0.19685039370078741" top="0.78740157480314965" bottom="0.19685039370078741" header="0.51181102362204722" footer="0.51181102362204722"/>
  <pageSetup paperSize="9" scale="88" orientation="landscape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AF13"/>
  <sheetViews>
    <sheetView workbookViewId="0">
      <pane xSplit="4" topLeftCell="E1" activePane="topRight" state="frozen"/>
      <selection activeCell="C51" sqref="C51"/>
      <selection pane="topRight"/>
    </sheetView>
  </sheetViews>
  <sheetFormatPr baseColWidth="10" defaultColWidth="9" defaultRowHeight="14"/>
  <cols>
    <col min="1" max="1" width="3.6640625" style="135" customWidth="1"/>
    <col min="2" max="2" width="4.83203125" style="135" customWidth="1"/>
    <col min="3" max="3" width="16.33203125" style="135" customWidth="1"/>
    <col min="4" max="4" width="16.6640625" style="135" customWidth="1"/>
    <col min="5" max="5" width="5.1640625" style="135" bestFit="1" customWidth="1"/>
    <col min="6" max="6" width="23.6640625" style="135" bestFit="1" customWidth="1"/>
    <col min="7" max="13" width="4.6640625" style="135" customWidth="1"/>
    <col min="14" max="32" width="5.6640625" style="135" customWidth="1"/>
    <col min="33" max="16384" width="9" style="135"/>
  </cols>
  <sheetData>
    <row r="1" spans="1:32">
      <c r="A1" s="135" t="s">
        <v>39</v>
      </c>
      <c r="B1" s="135" t="s">
        <v>30</v>
      </c>
      <c r="C1" s="135" t="s">
        <v>59</v>
      </c>
      <c r="D1" s="135" t="s">
        <v>31</v>
      </c>
      <c r="E1" s="135" t="s">
        <v>32</v>
      </c>
      <c r="F1" s="135" t="s">
        <v>38</v>
      </c>
      <c r="G1" s="135" t="s">
        <v>33</v>
      </c>
      <c r="H1" s="135" t="s">
        <v>34</v>
      </c>
      <c r="I1" s="135" t="s">
        <v>90</v>
      </c>
      <c r="J1" s="135" t="s">
        <v>91</v>
      </c>
      <c r="K1" s="135" t="s">
        <v>35</v>
      </c>
      <c r="L1" s="135" t="s">
        <v>36</v>
      </c>
      <c r="M1" s="135" t="s">
        <v>37</v>
      </c>
      <c r="N1" s="135" t="s">
        <v>139</v>
      </c>
      <c r="O1" s="135" t="s">
        <v>264</v>
      </c>
      <c r="P1" s="135" t="s">
        <v>210</v>
      </c>
      <c r="Q1" s="135" t="s">
        <v>228</v>
      </c>
      <c r="R1" s="135" t="s">
        <v>229</v>
      </c>
      <c r="S1" s="135" t="s">
        <v>122</v>
      </c>
      <c r="T1" s="135" t="s">
        <v>133</v>
      </c>
      <c r="U1" s="135" t="s">
        <v>124</v>
      </c>
      <c r="V1" s="135" t="s">
        <v>123</v>
      </c>
      <c r="W1" s="135" t="s">
        <v>230</v>
      </c>
      <c r="X1" s="135" t="s">
        <v>231</v>
      </c>
      <c r="Y1" s="135" t="s">
        <v>232</v>
      </c>
      <c r="Z1" s="135" t="s">
        <v>217</v>
      </c>
      <c r="AA1" s="135" t="s">
        <v>276</v>
      </c>
      <c r="AB1" s="135" t="s">
        <v>134</v>
      </c>
      <c r="AC1" s="135" t="s">
        <v>135</v>
      </c>
      <c r="AD1" s="135" t="s">
        <v>136</v>
      </c>
      <c r="AE1" s="135" t="s">
        <v>137</v>
      </c>
    </row>
    <row r="2" spans="1:32">
      <c r="A2" s="135">
        <v>3</v>
      </c>
      <c r="B2" s="135">
        <v>101</v>
      </c>
      <c r="C2" s="135" t="s">
        <v>109</v>
      </c>
      <c r="D2" s="135" t="s">
        <v>92</v>
      </c>
      <c r="E2" s="135" t="s">
        <v>93</v>
      </c>
      <c r="N2" s="135">
        <v>1000</v>
      </c>
    </row>
    <row r="3" spans="1:32">
      <c r="A3" s="135">
        <v>3</v>
      </c>
      <c r="B3" s="135">
        <v>102</v>
      </c>
      <c r="C3" s="135" t="s">
        <v>109</v>
      </c>
      <c r="D3" s="135" t="s">
        <v>72</v>
      </c>
      <c r="E3" s="135" t="s">
        <v>93</v>
      </c>
      <c r="N3" s="135">
        <v>1000</v>
      </c>
    </row>
    <row r="4" spans="1:32">
      <c r="A4" s="135">
        <v>3</v>
      </c>
      <c r="B4" s="135">
        <v>103</v>
      </c>
      <c r="C4" s="135" t="s">
        <v>109</v>
      </c>
      <c r="D4" s="135" t="s">
        <v>73</v>
      </c>
      <c r="E4" s="135" t="s">
        <v>93</v>
      </c>
      <c r="N4" s="135">
        <v>1000</v>
      </c>
    </row>
    <row r="5" spans="1:32">
      <c r="A5" s="135">
        <v>3</v>
      </c>
      <c r="B5" s="135">
        <v>104</v>
      </c>
      <c r="C5" s="135" t="s">
        <v>110</v>
      </c>
      <c r="D5" s="135" t="s">
        <v>74</v>
      </c>
      <c r="E5" s="135" t="s">
        <v>93</v>
      </c>
      <c r="N5" s="135">
        <v>1000</v>
      </c>
    </row>
    <row r="6" spans="1:32">
      <c r="A6" s="135">
        <v>3</v>
      </c>
      <c r="B6" s="135">
        <v>105</v>
      </c>
      <c r="C6" s="135" t="s">
        <v>110</v>
      </c>
      <c r="D6" s="135" t="s">
        <v>75</v>
      </c>
      <c r="E6" s="135" t="s">
        <v>93</v>
      </c>
      <c r="N6" s="135">
        <v>1000</v>
      </c>
    </row>
    <row r="7" spans="1:32">
      <c r="A7" s="135">
        <v>4</v>
      </c>
      <c r="B7" s="135">
        <v>106</v>
      </c>
      <c r="C7" s="135" t="s">
        <v>76</v>
      </c>
      <c r="D7" s="135" t="s">
        <v>77</v>
      </c>
      <c r="E7" s="135" t="s">
        <v>60</v>
      </c>
      <c r="N7" s="135">
        <v>0</v>
      </c>
    </row>
    <row r="8" spans="1:32">
      <c r="A8" s="135">
        <v>4</v>
      </c>
      <c r="B8" s="135">
        <v>107</v>
      </c>
      <c r="C8" s="135" t="s">
        <v>76</v>
      </c>
      <c r="D8" s="135" t="s">
        <v>78</v>
      </c>
      <c r="E8" s="135" t="s">
        <v>60</v>
      </c>
      <c r="N8" s="135">
        <v>0</v>
      </c>
    </row>
    <row r="9" spans="1:32">
      <c r="A9" s="135">
        <v>4</v>
      </c>
      <c r="B9" s="135">
        <v>109</v>
      </c>
      <c r="C9" s="135" t="s">
        <v>76</v>
      </c>
      <c r="D9" s="135" t="s">
        <v>106</v>
      </c>
      <c r="E9" s="135" t="s">
        <v>60</v>
      </c>
      <c r="N9" s="135">
        <v>0</v>
      </c>
    </row>
    <row r="10" spans="1:32">
      <c r="A10" s="135">
        <v>3</v>
      </c>
      <c r="B10" s="135">
        <v>110</v>
      </c>
      <c r="C10" s="135" t="s">
        <v>76</v>
      </c>
      <c r="D10" s="135" t="s">
        <v>185</v>
      </c>
      <c r="E10" s="135" t="s">
        <v>60</v>
      </c>
      <c r="N10" s="135">
        <v>0</v>
      </c>
    </row>
    <row r="11" spans="1:32">
      <c r="A11" s="135">
        <v>4</v>
      </c>
      <c r="B11" s="135">
        <v>108</v>
      </c>
      <c r="C11" s="135" t="s">
        <v>76</v>
      </c>
      <c r="D11" s="135" t="s">
        <v>84</v>
      </c>
      <c r="E11" s="135" t="s">
        <v>60</v>
      </c>
      <c r="N11" s="135">
        <v>0</v>
      </c>
    </row>
    <row r="12" spans="1:32">
      <c r="A12" s="135">
        <v>99</v>
      </c>
      <c r="B12" s="135">
        <v>1</v>
      </c>
      <c r="C12" s="135" t="str">
        <f>代価!$D$5</f>
        <v>未記入</v>
      </c>
      <c r="D12" s="135" t="str">
        <f>代価!$E$5</f>
        <v>未記入</v>
      </c>
      <c r="E12" s="135" t="str">
        <f>代価!$G$5</f>
        <v>未記入</v>
      </c>
      <c r="F12" s="135">
        <f>代価!$J$5</f>
        <v>0</v>
      </c>
      <c r="H12" s="135">
        <f>代価!$I24</f>
        <v>0</v>
      </c>
      <c r="I12" s="135" t="s">
        <v>186</v>
      </c>
      <c r="J12" s="135" t="s">
        <v>186</v>
      </c>
      <c r="K12" s="135" t="s">
        <v>186</v>
      </c>
      <c r="L12" s="135" t="s">
        <v>186</v>
      </c>
      <c r="M12" s="135" t="s">
        <v>186</v>
      </c>
      <c r="N12" s="135">
        <f>代価!$O$24</f>
        <v>0</v>
      </c>
      <c r="O12" s="135">
        <f>代価!$P$24</f>
        <v>0</v>
      </c>
      <c r="P12" s="135">
        <f>代価!$Q$24</f>
        <v>0</v>
      </c>
      <c r="Q12" s="135">
        <f>代価!$R$24</f>
        <v>0</v>
      </c>
      <c r="R12" s="135">
        <f>代価!$S$24</f>
        <v>0</v>
      </c>
      <c r="S12" s="135">
        <f>代価!$T$24</f>
        <v>0</v>
      </c>
      <c r="T12" s="135">
        <f>代価!$U$24</f>
        <v>0</v>
      </c>
      <c r="U12" s="135">
        <f>代価!$V$24</f>
        <v>0</v>
      </c>
      <c r="V12" s="135">
        <f>代価!$W$24</f>
        <v>0</v>
      </c>
      <c r="W12" s="135">
        <f>代価!$X$24</f>
        <v>0</v>
      </c>
      <c r="X12" s="135">
        <f>代価!$Y$24</f>
        <v>0</v>
      </c>
      <c r="Y12" s="135">
        <f>代価!$Z$24</f>
        <v>0</v>
      </c>
      <c r="Z12" s="135">
        <f>代価!$AA$24</f>
        <v>0</v>
      </c>
      <c r="AA12" s="135">
        <f>代価!$AB$24</f>
        <v>0</v>
      </c>
      <c r="AB12" s="135">
        <f>代価!$AC$24</f>
        <v>0</v>
      </c>
      <c r="AC12" s="135">
        <f>代価!$AD$24</f>
        <v>0</v>
      </c>
      <c r="AD12" s="135">
        <f>代価!$AE$24</f>
        <v>0</v>
      </c>
      <c r="AE12" s="135">
        <f>代価!$AF$24</f>
        <v>0</v>
      </c>
      <c r="AF12" s="135">
        <f>代価!$AG$24</f>
        <v>0</v>
      </c>
    </row>
    <row r="13" spans="1:32">
      <c r="A13" s="135">
        <v>99</v>
      </c>
      <c r="B13" s="135">
        <v>2</v>
      </c>
      <c r="C13" s="135" t="str">
        <f>代価!$D$28</f>
        <v>会所４００角</v>
      </c>
      <c r="D13" s="135" t="str">
        <f>代価!$E$28</f>
        <v xml:space="preserve"> H=1200 根切共</v>
      </c>
      <c r="E13" s="135" t="str">
        <f>代価!$G$28</f>
        <v>ヵ所</v>
      </c>
      <c r="F13" s="135">
        <f>代価!$J$28</f>
        <v>0</v>
      </c>
      <c r="H13" s="135">
        <f>代価!$I47</f>
        <v>0</v>
      </c>
      <c r="I13" s="135" t="s">
        <v>186</v>
      </c>
      <c r="J13" s="135" t="s">
        <v>186</v>
      </c>
      <c r="K13" s="135" t="s">
        <v>186</v>
      </c>
      <c r="L13" s="135" t="s">
        <v>186</v>
      </c>
      <c r="M13" s="135" t="s">
        <v>186</v>
      </c>
      <c r="N13" s="135">
        <f>代価!$O$47</f>
        <v>477.2</v>
      </c>
      <c r="O13" s="135">
        <f>代価!$P$47</f>
        <v>0</v>
      </c>
      <c r="P13" s="135">
        <f>代価!$Q$47</f>
        <v>0</v>
      </c>
      <c r="Q13" s="135">
        <f>代価!$R$47</f>
        <v>0</v>
      </c>
      <c r="R13" s="135">
        <f>代価!$S$47</f>
        <v>0</v>
      </c>
      <c r="S13" s="135">
        <f>代価!$T$47</f>
        <v>0</v>
      </c>
      <c r="T13" s="135">
        <f>代価!$U$47</f>
        <v>0</v>
      </c>
      <c r="U13" s="135">
        <f>代価!$V$47</f>
        <v>0</v>
      </c>
      <c r="V13" s="135">
        <f>代価!$W$47</f>
        <v>0</v>
      </c>
      <c r="W13" s="135">
        <f>代価!$X$47</f>
        <v>0</v>
      </c>
      <c r="X13" s="135">
        <f>代価!$Y$47</f>
        <v>0</v>
      </c>
      <c r="Y13" s="135">
        <f>代価!$Z$47</f>
        <v>0</v>
      </c>
      <c r="Z13" s="135">
        <f>代価!$AA$47</f>
        <v>0</v>
      </c>
      <c r="AA13" s="135">
        <f>代価!$AB$47</f>
        <v>0</v>
      </c>
      <c r="AB13" s="135">
        <f>代価!$AC$47</f>
        <v>0</v>
      </c>
      <c r="AC13" s="135">
        <f>代価!$AD$47</f>
        <v>0</v>
      </c>
      <c r="AD13" s="135">
        <f>代価!$AE$47</f>
        <v>0</v>
      </c>
      <c r="AE13" s="135">
        <f>代価!$AF$47</f>
        <v>0</v>
      </c>
      <c r="AF13" s="135">
        <f>代価!$AG$47</f>
        <v>0</v>
      </c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L352"/>
  <sheetViews>
    <sheetView view="pageBreakPreview" topLeftCell="A37" zoomScaleNormal="100" zoomScaleSheetLayoutView="100" workbookViewId="0">
      <selection activeCell="F58" sqref="F58"/>
    </sheetView>
  </sheetViews>
  <sheetFormatPr baseColWidth="10" defaultColWidth="9" defaultRowHeight="14"/>
  <cols>
    <col min="1" max="1" width="2.5" style="846" customWidth="1"/>
    <col min="2" max="2" width="3.5" style="846" customWidth="1"/>
    <col min="3" max="3" width="23.1640625" style="846" customWidth="1"/>
    <col min="4" max="4" width="4.5" style="846" customWidth="1"/>
    <col min="5" max="5" width="5.6640625" style="846" customWidth="1"/>
    <col min="6" max="6" width="15.1640625" style="846" customWidth="1"/>
    <col min="7" max="12" width="15.1640625" style="1713" customWidth="1"/>
    <col min="257" max="257" width="2.5" customWidth="1"/>
    <col min="258" max="258" width="3.5" customWidth="1"/>
    <col min="259" max="259" width="23.1640625" customWidth="1"/>
    <col min="260" max="260" width="4.5" customWidth="1"/>
    <col min="261" max="261" width="5.6640625" customWidth="1"/>
    <col min="262" max="268" width="15.1640625" customWidth="1"/>
    <col min="513" max="513" width="2.5" customWidth="1"/>
    <col min="514" max="514" width="3.5" customWidth="1"/>
    <col min="515" max="515" width="23.1640625" customWidth="1"/>
    <col min="516" max="516" width="4.5" customWidth="1"/>
    <col min="517" max="517" width="5.6640625" customWidth="1"/>
    <col min="518" max="524" width="15.1640625" customWidth="1"/>
    <col min="769" max="769" width="2.5" customWidth="1"/>
    <col min="770" max="770" width="3.5" customWidth="1"/>
    <col min="771" max="771" width="23.1640625" customWidth="1"/>
    <col min="772" max="772" width="4.5" customWidth="1"/>
    <col min="773" max="773" width="5.6640625" customWidth="1"/>
    <col min="774" max="780" width="15.1640625" customWidth="1"/>
    <col min="1025" max="1025" width="2.5" customWidth="1"/>
    <col min="1026" max="1026" width="3.5" customWidth="1"/>
    <col min="1027" max="1027" width="23.1640625" customWidth="1"/>
    <col min="1028" max="1028" width="4.5" customWidth="1"/>
    <col min="1029" max="1029" width="5.6640625" customWidth="1"/>
    <col min="1030" max="1036" width="15.1640625" customWidth="1"/>
    <col min="1281" max="1281" width="2.5" customWidth="1"/>
    <col min="1282" max="1282" width="3.5" customWidth="1"/>
    <col min="1283" max="1283" width="23.1640625" customWidth="1"/>
    <col min="1284" max="1284" width="4.5" customWidth="1"/>
    <col min="1285" max="1285" width="5.6640625" customWidth="1"/>
    <col min="1286" max="1292" width="15.1640625" customWidth="1"/>
    <col min="1537" max="1537" width="2.5" customWidth="1"/>
    <col min="1538" max="1538" width="3.5" customWidth="1"/>
    <col min="1539" max="1539" width="23.1640625" customWidth="1"/>
    <col min="1540" max="1540" width="4.5" customWidth="1"/>
    <col min="1541" max="1541" width="5.6640625" customWidth="1"/>
    <col min="1542" max="1548" width="15.1640625" customWidth="1"/>
    <col min="1793" max="1793" width="2.5" customWidth="1"/>
    <col min="1794" max="1794" width="3.5" customWidth="1"/>
    <col min="1795" max="1795" width="23.1640625" customWidth="1"/>
    <col min="1796" max="1796" width="4.5" customWidth="1"/>
    <col min="1797" max="1797" width="5.6640625" customWidth="1"/>
    <col min="1798" max="1804" width="15.1640625" customWidth="1"/>
    <col min="2049" max="2049" width="2.5" customWidth="1"/>
    <col min="2050" max="2050" width="3.5" customWidth="1"/>
    <col min="2051" max="2051" width="23.1640625" customWidth="1"/>
    <col min="2052" max="2052" width="4.5" customWidth="1"/>
    <col min="2053" max="2053" width="5.6640625" customWidth="1"/>
    <col min="2054" max="2060" width="15.1640625" customWidth="1"/>
    <col min="2305" max="2305" width="2.5" customWidth="1"/>
    <col min="2306" max="2306" width="3.5" customWidth="1"/>
    <col min="2307" max="2307" width="23.1640625" customWidth="1"/>
    <col min="2308" max="2308" width="4.5" customWidth="1"/>
    <col min="2309" max="2309" width="5.6640625" customWidth="1"/>
    <col min="2310" max="2316" width="15.1640625" customWidth="1"/>
    <col min="2561" max="2561" width="2.5" customWidth="1"/>
    <col min="2562" max="2562" width="3.5" customWidth="1"/>
    <col min="2563" max="2563" width="23.1640625" customWidth="1"/>
    <col min="2564" max="2564" width="4.5" customWidth="1"/>
    <col min="2565" max="2565" width="5.6640625" customWidth="1"/>
    <col min="2566" max="2572" width="15.1640625" customWidth="1"/>
    <col min="2817" max="2817" width="2.5" customWidth="1"/>
    <col min="2818" max="2818" width="3.5" customWidth="1"/>
    <col min="2819" max="2819" width="23.1640625" customWidth="1"/>
    <col min="2820" max="2820" width="4.5" customWidth="1"/>
    <col min="2821" max="2821" width="5.6640625" customWidth="1"/>
    <col min="2822" max="2828" width="15.1640625" customWidth="1"/>
    <col min="3073" max="3073" width="2.5" customWidth="1"/>
    <col min="3074" max="3074" width="3.5" customWidth="1"/>
    <col min="3075" max="3075" width="23.1640625" customWidth="1"/>
    <col min="3076" max="3076" width="4.5" customWidth="1"/>
    <col min="3077" max="3077" width="5.6640625" customWidth="1"/>
    <col min="3078" max="3084" width="15.1640625" customWidth="1"/>
    <col min="3329" max="3329" width="2.5" customWidth="1"/>
    <col min="3330" max="3330" width="3.5" customWidth="1"/>
    <col min="3331" max="3331" width="23.1640625" customWidth="1"/>
    <col min="3332" max="3332" width="4.5" customWidth="1"/>
    <col min="3333" max="3333" width="5.6640625" customWidth="1"/>
    <col min="3334" max="3340" width="15.1640625" customWidth="1"/>
    <col min="3585" max="3585" width="2.5" customWidth="1"/>
    <col min="3586" max="3586" width="3.5" customWidth="1"/>
    <col min="3587" max="3587" width="23.1640625" customWidth="1"/>
    <col min="3588" max="3588" width="4.5" customWidth="1"/>
    <col min="3589" max="3589" width="5.6640625" customWidth="1"/>
    <col min="3590" max="3596" width="15.1640625" customWidth="1"/>
    <col min="3841" max="3841" width="2.5" customWidth="1"/>
    <col min="3842" max="3842" width="3.5" customWidth="1"/>
    <col min="3843" max="3843" width="23.1640625" customWidth="1"/>
    <col min="3844" max="3844" width="4.5" customWidth="1"/>
    <col min="3845" max="3845" width="5.6640625" customWidth="1"/>
    <col min="3846" max="3852" width="15.1640625" customWidth="1"/>
    <col min="4097" max="4097" width="2.5" customWidth="1"/>
    <col min="4098" max="4098" width="3.5" customWidth="1"/>
    <col min="4099" max="4099" width="23.1640625" customWidth="1"/>
    <col min="4100" max="4100" width="4.5" customWidth="1"/>
    <col min="4101" max="4101" width="5.6640625" customWidth="1"/>
    <col min="4102" max="4108" width="15.1640625" customWidth="1"/>
    <col min="4353" max="4353" width="2.5" customWidth="1"/>
    <col min="4354" max="4354" width="3.5" customWidth="1"/>
    <col min="4355" max="4355" width="23.1640625" customWidth="1"/>
    <col min="4356" max="4356" width="4.5" customWidth="1"/>
    <col min="4357" max="4357" width="5.6640625" customWidth="1"/>
    <col min="4358" max="4364" width="15.1640625" customWidth="1"/>
    <col min="4609" max="4609" width="2.5" customWidth="1"/>
    <col min="4610" max="4610" width="3.5" customWidth="1"/>
    <col min="4611" max="4611" width="23.1640625" customWidth="1"/>
    <col min="4612" max="4612" width="4.5" customWidth="1"/>
    <col min="4613" max="4613" width="5.6640625" customWidth="1"/>
    <col min="4614" max="4620" width="15.1640625" customWidth="1"/>
    <col min="4865" max="4865" width="2.5" customWidth="1"/>
    <col min="4866" max="4866" width="3.5" customWidth="1"/>
    <col min="4867" max="4867" width="23.1640625" customWidth="1"/>
    <col min="4868" max="4868" width="4.5" customWidth="1"/>
    <col min="4869" max="4869" width="5.6640625" customWidth="1"/>
    <col min="4870" max="4876" width="15.1640625" customWidth="1"/>
    <col min="5121" max="5121" width="2.5" customWidth="1"/>
    <col min="5122" max="5122" width="3.5" customWidth="1"/>
    <col min="5123" max="5123" width="23.1640625" customWidth="1"/>
    <col min="5124" max="5124" width="4.5" customWidth="1"/>
    <col min="5125" max="5125" width="5.6640625" customWidth="1"/>
    <col min="5126" max="5132" width="15.1640625" customWidth="1"/>
    <col min="5377" max="5377" width="2.5" customWidth="1"/>
    <col min="5378" max="5378" width="3.5" customWidth="1"/>
    <col min="5379" max="5379" width="23.1640625" customWidth="1"/>
    <col min="5380" max="5380" width="4.5" customWidth="1"/>
    <col min="5381" max="5381" width="5.6640625" customWidth="1"/>
    <col min="5382" max="5388" width="15.1640625" customWidth="1"/>
    <col min="5633" max="5633" width="2.5" customWidth="1"/>
    <col min="5634" max="5634" width="3.5" customWidth="1"/>
    <col min="5635" max="5635" width="23.1640625" customWidth="1"/>
    <col min="5636" max="5636" width="4.5" customWidth="1"/>
    <col min="5637" max="5637" width="5.6640625" customWidth="1"/>
    <col min="5638" max="5644" width="15.1640625" customWidth="1"/>
    <col min="5889" max="5889" width="2.5" customWidth="1"/>
    <col min="5890" max="5890" width="3.5" customWidth="1"/>
    <col min="5891" max="5891" width="23.1640625" customWidth="1"/>
    <col min="5892" max="5892" width="4.5" customWidth="1"/>
    <col min="5893" max="5893" width="5.6640625" customWidth="1"/>
    <col min="5894" max="5900" width="15.1640625" customWidth="1"/>
    <col min="6145" max="6145" width="2.5" customWidth="1"/>
    <col min="6146" max="6146" width="3.5" customWidth="1"/>
    <col min="6147" max="6147" width="23.1640625" customWidth="1"/>
    <col min="6148" max="6148" width="4.5" customWidth="1"/>
    <col min="6149" max="6149" width="5.6640625" customWidth="1"/>
    <col min="6150" max="6156" width="15.1640625" customWidth="1"/>
    <col min="6401" max="6401" width="2.5" customWidth="1"/>
    <col min="6402" max="6402" width="3.5" customWidth="1"/>
    <col min="6403" max="6403" width="23.1640625" customWidth="1"/>
    <col min="6404" max="6404" width="4.5" customWidth="1"/>
    <col min="6405" max="6405" width="5.6640625" customWidth="1"/>
    <col min="6406" max="6412" width="15.1640625" customWidth="1"/>
    <col min="6657" max="6657" width="2.5" customWidth="1"/>
    <col min="6658" max="6658" width="3.5" customWidth="1"/>
    <col min="6659" max="6659" width="23.1640625" customWidth="1"/>
    <col min="6660" max="6660" width="4.5" customWidth="1"/>
    <col min="6661" max="6661" width="5.6640625" customWidth="1"/>
    <col min="6662" max="6668" width="15.1640625" customWidth="1"/>
    <col min="6913" max="6913" width="2.5" customWidth="1"/>
    <col min="6914" max="6914" width="3.5" customWidth="1"/>
    <col min="6915" max="6915" width="23.1640625" customWidth="1"/>
    <col min="6916" max="6916" width="4.5" customWidth="1"/>
    <col min="6917" max="6917" width="5.6640625" customWidth="1"/>
    <col min="6918" max="6924" width="15.1640625" customWidth="1"/>
    <col min="7169" max="7169" width="2.5" customWidth="1"/>
    <col min="7170" max="7170" width="3.5" customWidth="1"/>
    <col min="7171" max="7171" width="23.1640625" customWidth="1"/>
    <col min="7172" max="7172" width="4.5" customWidth="1"/>
    <col min="7173" max="7173" width="5.6640625" customWidth="1"/>
    <col min="7174" max="7180" width="15.1640625" customWidth="1"/>
    <col min="7425" max="7425" width="2.5" customWidth="1"/>
    <col min="7426" max="7426" width="3.5" customWidth="1"/>
    <col min="7427" max="7427" width="23.1640625" customWidth="1"/>
    <col min="7428" max="7428" width="4.5" customWidth="1"/>
    <col min="7429" max="7429" width="5.6640625" customWidth="1"/>
    <col min="7430" max="7436" width="15.1640625" customWidth="1"/>
    <col min="7681" max="7681" width="2.5" customWidth="1"/>
    <col min="7682" max="7682" width="3.5" customWidth="1"/>
    <col min="7683" max="7683" width="23.1640625" customWidth="1"/>
    <col min="7684" max="7684" width="4.5" customWidth="1"/>
    <col min="7685" max="7685" width="5.6640625" customWidth="1"/>
    <col min="7686" max="7692" width="15.1640625" customWidth="1"/>
    <col min="7937" max="7937" width="2.5" customWidth="1"/>
    <col min="7938" max="7938" width="3.5" customWidth="1"/>
    <col min="7939" max="7939" width="23.1640625" customWidth="1"/>
    <col min="7940" max="7940" width="4.5" customWidth="1"/>
    <col min="7941" max="7941" width="5.6640625" customWidth="1"/>
    <col min="7942" max="7948" width="15.1640625" customWidth="1"/>
    <col min="8193" max="8193" width="2.5" customWidth="1"/>
    <col min="8194" max="8194" width="3.5" customWidth="1"/>
    <col min="8195" max="8195" width="23.1640625" customWidth="1"/>
    <col min="8196" max="8196" width="4.5" customWidth="1"/>
    <col min="8197" max="8197" width="5.6640625" customWidth="1"/>
    <col min="8198" max="8204" width="15.1640625" customWidth="1"/>
    <col min="8449" max="8449" width="2.5" customWidth="1"/>
    <col min="8450" max="8450" width="3.5" customWidth="1"/>
    <col min="8451" max="8451" width="23.1640625" customWidth="1"/>
    <col min="8452" max="8452" width="4.5" customWidth="1"/>
    <col min="8453" max="8453" width="5.6640625" customWidth="1"/>
    <col min="8454" max="8460" width="15.1640625" customWidth="1"/>
    <col min="8705" max="8705" width="2.5" customWidth="1"/>
    <col min="8706" max="8706" width="3.5" customWidth="1"/>
    <col min="8707" max="8707" width="23.1640625" customWidth="1"/>
    <col min="8708" max="8708" width="4.5" customWidth="1"/>
    <col min="8709" max="8709" width="5.6640625" customWidth="1"/>
    <col min="8710" max="8716" width="15.1640625" customWidth="1"/>
    <col min="8961" max="8961" width="2.5" customWidth="1"/>
    <col min="8962" max="8962" width="3.5" customWidth="1"/>
    <col min="8963" max="8963" width="23.1640625" customWidth="1"/>
    <col min="8964" max="8964" width="4.5" customWidth="1"/>
    <col min="8965" max="8965" width="5.6640625" customWidth="1"/>
    <col min="8966" max="8972" width="15.1640625" customWidth="1"/>
    <col min="9217" max="9217" width="2.5" customWidth="1"/>
    <col min="9218" max="9218" width="3.5" customWidth="1"/>
    <col min="9219" max="9219" width="23.1640625" customWidth="1"/>
    <col min="9220" max="9220" width="4.5" customWidth="1"/>
    <col min="9221" max="9221" width="5.6640625" customWidth="1"/>
    <col min="9222" max="9228" width="15.1640625" customWidth="1"/>
    <col min="9473" max="9473" width="2.5" customWidth="1"/>
    <col min="9474" max="9474" width="3.5" customWidth="1"/>
    <col min="9475" max="9475" width="23.1640625" customWidth="1"/>
    <col min="9476" max="9476" width="4.5" customWidth="1"/>
    <col min="9477" max="9477" width="5.6640625" customWidth="1"/>
    <col min="9478" max="9484" width="15.1640625" customWidth="1"/>
    <col min="9729" max="9729" width="2.5" customWidth="1"/>
    <col min="9730" max="9730" width="3.5" customWidth="1"/>
    <col min="9731" max="9731" width="23.1640625" customWidth="1"/>
    <col min="9732" max="9732" width="4.5" customWidth="1"/>
    <col min="9733" max="9733" width="5.6640625" customWidth="1"/>
    <col min="9734" max="9740" width="15.1640625" customWidth="1"/>
    <col min="9985" max="9985" width="2.5" customWidth="1"/>
    <col min="9986" max="9986" width="3.5" customWidth="1"/>
    <col min="9987" max="9987" width="23.1640625" customWidth="1"/>
    <col min="9988" max="9988" width="4.5" customWidth="1"/>
    <col min="9989" max="9989" width="5.6640625" customWidth="1"/>
    <col min="9990" max="9996" width="15.1640625" customWidth="1"/>
    <col min="10241" max="10241" width="2.5" customWidth="1"/>
    <col min="10242" max="10242" width="3.5" customWidth="1"/>
    <col min="10243" max="10243" width="23.1640625" customWidth="1"/>
    <col min="10244" max="10244" width="4.5" customWidth="1"/>
    <col min="10245" max="10245" width="5.6640625" customWidth="1"/>
    <col min="10246" max="10252" width="15.1640625" customWidth="1"/>
    <col min="10497" max="10497" width="2.5" customWidth="1"/>
    <col min="10498" max="10498" width="3.5" customWidth="1"/>
    <col min="10499" max="10499" width="23.1640625" customWidth="1"/>
    <col min="10500" max="10500" width="4.5" customWidth="1"/>
    <col min="10501" max="10501" width="5.6640625" customWidth="1"/>
    <col min="10502" max="10508" width="15.1640625" customWidth="1"/>
    <col min="10753" max="10753" width="2.5" customWidth="1"/>
    <col min="10754" max="10754" width="3.5" customWidth="1"/>
    <col min="10755" max="10755" width="23.1640625" customWidth="1"/>
    <col min="10756" max="10756" width="4.5" customWidth="1"/>
    <col min="10757" max="10757" width="5.6640625" customWidth="1"/>
    <col min="10758" max="10764" width="15.1640625" customWidth="1"/>
    <col min="11009" max="11009" width="2.5" customWidth="1"/>
    <col min="11010" max="11010" width="3.5" customWidth="1"/>
    <col min="11011" max="11011" width="23.1640625" customWidth="1"/>
    <col min="11012" max="11012" width="4.5" customWidth="1"/>
    <col min="11013" max="11013" width="5.6640625" customWidth="1"/>
    <col min="11014" max="11020" width="15.1640625" customWidth="1"/>
    <col min="11265" max="11265" width="2.5" customWidth="1"/>
    <col min="11266" max="11266" width="3.5" customWidth="1"/>
    <col min="11267" max="11267" width="23.1640625" customWidth="1"/>
    <col min="11268" max="11268" width="4.5" customWidth="1"/>
    <col min="11269" max="11269" width="5.6640625" customWidth="1"/>
    <col min="11270" max="11276" width="15.1640625" customWidth="1"/>
    <col min="11521" max="11521" width="2.5" customWidth="1"/>
    <col min="11522" max="11522" width="3.5" customWidth="1"/>
    <col min="11523" max="11523" width="23.1640625" customWidth="1"/>
    <col min="11524" max="11524" width="4.5" customWidth="1"/>
    <col min="11525" max="11525" width="5.6640625" customWidth="1"/>
    <col min="11526" max="11532" width="15.1640625" customWidth="1"/>
    <col min="11777" max="11777" width="2.5" customWidth="1"/>
    <col min="11778" max="11778" width="3.5" customWidth="1"/>
    <col min="11779" max="11779" width="23.1640625" customWidth="1"/>
    <col min="11780" max="11780" width="4.5" customWidth="1"/>
    <col min="11781" max="11781" width="5.6640625" customWidth="1"/>
    <col min="11782" max="11788" width="15.1640625" customWidth="1"/>
    <col min="12033" max="12033" width="2.5" customWidth="1"/>
    <col min="12034" max="12034" width="3.5" customWidth="1"/>
    <col min="12035" max="12035" width="23.1640625" customWidth="1"/>
    <col min="12036" max="12036" width="4.5" customWidth="1"/>
    <col min="12037" max="12037" width="5.6640625" customWidth="1"/>
    <col min="12038" max="12044" width="15.1640625" customWidth="1"/>
    <col min="12289" max="12289" width="2.5" customWidth="1"/>
    <col min="12290" max="12290" width="3.5" customWidth="1"/>
    <col min="12291" max="12291" width="23.1640625" customWidth="1"/>
    <col min="12292" max="12292" width="4.5" customWidth="1"/>
    <col min="12293" max="12293" width="5.6640625" customWidth="1"/>
    <col min="12294" max="12300" width="15.1640625" customWidth="1"/>
    <col min="12545" max="12545" width="2.5" customWidth="1"/>
    <col min="12546" max="12546" width="3.5" customWidth="1"/>
    <col min="12547" max="12547" width="23.1640625" customWidth="1"/>
    <col min="12548" max="12548" width="4.5" customWidth="1"/>
    <col min="12549" max="12549" width="5.6640625" customWidth="1"/>
    <col min="12550" max="12556" width="15.1640625" customWidth="1"/>
    <col min="12801" max="12801" width="2.5" customWidth="1"/>
    <col min="12802" max="12802" width="3.5" customWidth="1"/>
    <col min="12803" max="12803" width="23.1640625" customWidth="1"/>
    <col min="12804" max="12804" width="4.5" customWidth="1"/>
    <col min="12805" max="12805" width="5.6640625" customWidth="1"/>
    <col min="12806" max="12812" width="15.1640625" customWidth="1"/>
    <col min="13057" max="13057" width="2.5" customWidth="1"/>
    <col min="13058" max="13058" width="3.5" customWidth="1"/>
    <col min="13059" max="13059" width="23.1640625" customWidth="1"/>
    <col min="13060" max="13060" width="4.5" customWidth="1"/>
    <col min="13061" max="13061" width="5.6640625" customWidth="1"/>
    <col min="13062" max="13068" width="15.1640625" customWidth="1"/>
    <col min="13313" max="13313" width="2.5" customWidth="1"/>
    <col min="13314" max="13314" width="3.5" customWidth="1"/>
    <col min="13315" max="13315" width="23.1640625" customWidth="1"/>
    <col min="13316" max="13316" width="4.5" customWidth="1"/>
    <col min="13317" max="13317" width="5.6640625" customWidth="1"/>
    <col min="13318" max="13324" width="15.1640625" customWidth="1"/>
    <col min="13569" max="13569" width="2.5" customWidth="1"/>
    <col min="13570" max="13570" width="3.5" customWidth="1"/>
    <col min="13571" max="13571" width="23.1640625" customWidth="1"/>
    <col min="13572" max="13572" width="4.5" customWidth="1"/>
    <col min="13573" max="13573" width="5.6640625" customWidth="1"/>
    <col min="13574" max="13580" width="15.1640625" customWidth="1"/>
    <col min="13825" max="13825" width="2.5" customWidth="1"/>
    <col min="13826" max="13826" width="3.5" customWidth="1"/>
    <col min="13827" max="13827" width="23.1640625" customWidth="1"/>
    <col min="13828" max="13828" width="4.5" customWidth="1"/>
    <col min="13829" max="13829" width="5.6640625" customWidth="1"/>
    <col min="13830" max="13836" width="15.1640625" customWidth="1"/>
    <col min="14081" max="14081" width="2.5" customWidth="1"/>
    <col min="14082" max="14082" width="3.5" customWidth="1"/>
    <col min="14083" max="14083" width="23.1640625" customWidth="1"/>
    <col min="14084" max="14084" width="4.5" customWidth="1"/>
    <col min="14085" max="14085" width="5.6640625" customWidth="1"/>
    <col min="14086" max="14092" width="15.1640625" customWidth="1"/>
    <col min="14337" max="14337" width="2.5" customWidth="1"/>
    <col min="14338" max="14338" width="3.5" customWidth="1"/>
    <col min="14339" max="14339" width="23.1640625" customWidth="1"/>
    <col min="14340" max="14340" width="4.5" customWidth="1"/>
    <col min="14341" max="14341" width="5.6640625" customWidth="1"/>
    <col min="14342" max="14348" width="15.1640625" customWidth="1"/>
    <col min="14593" max="14593" width="2.5" customWidth="1"/>
    <col min="14594" max="14594" width="3.5" customWidth="1"/>
    <col min="14595" max="14595" width="23.1640625" customWidth="1"/>
    <col min="14596" max="14596" width="4.5" customWidth="1"/>
    <col min="14597" max="14597" width="5.6640625" customWidth="1"/>
    <col min="14598" max="14604" width="15.1640625" customWidth="1"/>
    <col min="14849" max="14849" width="2.5" customWidth="1"/>
    <col min="14850" max="14850" width="3.5" customWidth="1"/>
    <col min="14851" max="14851" width="23.1640625" customWidth="1"/>
    <col min="14852" max="14852" width="4.5" customWidth="1"/>
    <col min="14853" max="14853" width="5.6640625" customWidth="1"/>
    <col min="14854" max="14860" width="15.1640625" customWidth="1"/>
    <col min="15105" max="15105" width="2.5" customWidth="1"/>
    <col min="15106" max="15106" width="3.5" customWidth="1"/>
    <col min="15107" max="15107" width="23.1640625" customWidth="1"/>
    <col min="15108" max="15108" width="4.5" customWidth="1"/>
    <col min="15109" max="15109" width="5.6640625" customWidth="1"/>
    <col min="15110" max="15116" width="15.1640625" customWidth="1"/>
    <col min="15361" max="15361" width="2.5" customWidth="1"/>
    <col min="15362" max="15362" width="3.5" customWidth="1"/>
    <col min="15363" max="15363" width="23.1640625" customWidth="1"/>
    <col min="15364" max="15364" width="4.5" customWidth="1"/>
    <col min="15365" max="15365" width="5.6640625" customWidth="1"/>
    <col min="15366" max="15372" width="15.1640625" customWidth="1"/>
    <col min="15617" max="15617" width="2.5" customWidth="1"/>
    <col min="15618" max="15618" width="3.5" customWidth="1"/>
    <col min="15619" max="15619" width="23.1640625" customWidth="1"/>
    <col min="15620" max="15620" width="4.5" customWidth="1"/>
    <col min="15621" max="15621" width="5.6640625" customWidth="1"/>
    <col min="15622" max="15628" width="15.1640625" customWidth="1"/>
    <col min="15873" max="15873" width="2.5" customWidth="1"/>
    <col min="15874" max="15874" width="3.5" customWidth="1"/>
    <col min="15875" max="15875" width="23.1640625" customWidth="1"/>
    <col min="15876" max="15876" width="4.5" customWidth="1"/>
    <col min="15877" max="15877" width="5.6640625" customWidth="1"/>
    <col min="15878" max="15884" width="15.1640625" customWidth="1"/>
    <col min="16129" max="16129" width="2.5" customWidth="1"/>
    <col min="16130" max="16130" width="3.5" customWidth="1"/>
    <col min="16131" max="16131" width="23.1640625" customWidth="1"/>
    <col min="16132" max="16132" width="4.5" customWidth="1"/>
    <col min="16133" max="16133" width="5.6640625" customWidth="1"/>
    <col min="16134" max="16140" width="15.1640625" customWidth="1"/>
  </cols>
  <sheetData>
    <row r="1" spans="1:12" ht="15">
      <c r="A1" s="840"/>
      <c r="B1" s="840"/>
      <c r="C1" s="841"/>
      <c r="D1" s="841"/>
      <c r="E1" s="1332" t="s">
        <v>2513</v>
      </c>
      <c r="F1" s="1333"/>
      <c r="G1" s="1334"/>
      <c r="H1" s="1334"/>
      <c r="I1" s="1334"/>
      <c r="J1" s="1334"/>
      <c r="K1" s="844">
        <v>20180319</v>
      </c>
      <c r="L1" s="843" t="s">
        <v>2730</v>
      </c>
    </row>
    <row r="2" spans="1:12">
      <c r="A2" s="840"/>
      <c r="B2" s="840"/>
      <c r="C2" s="2836" t="s">
        <v>2515</v>
      </c>
      <c r="D2" s="2837"/>
      <c r="E2" s="2837"/>
      <c r="F2" s="840" t="s">
        <v>2516</v>
      </c>
      <c r="G2" s="847"/>
      <c r="H2" s="848"/>
      <c r="I2" s="848"/>
      <c r="J2" s="848"/>
      <c r="K2" s="840"/>
      <c r="L2" s="848" t="s">
        <v>246</v>
      </c>
    </row>
    <row r="3" spans="1:12">
      <c r="A3" s="849"/>
      <c r="B3" s="850"/>
      <c r="C3" s="851"/>
      <c r="D3" s="852"/>
      <c r="E3" s="853"/>
      <c r="F3" s="854"/>
      <c r="G3" s="1335" t="s">
        <v>2731</v>
      </c>
      <c r="H3" s="1335"/>
      <c r="I3" s="1335"/>
      <c r="J3" s="1335"/>
      <c r="K3" s="1335"/>
      <c r="L3" s="1336"/>
    </row>
    <row r="4" spans="1:12">
      <c r="A4" s="849"/>
      <c r="B4" s="2838" t="s">
        <v>2518</v>
      </c>
      <c r="C4" s="2839"/>
      <c r="D4" s="2839"/>
      <c r="E4" s="853"/>
      <c r="F4" s="856">
        <f>SUM(G4:L4)</f>
        <v>0</v>
      </c>
      <c r="G4" s="857">
        <f>G61</f>
        <v>0</v>
      </c>
      <c r="H4" s="858">
        <f t="shared" ref="G4:L5" si="0">H61</f>
        <v>0</v>
      </c>
      <c r="I4" s="858">
        <f t="shared" si="0"/>
        <v>0</v>
      </c>
      <c r="J4" s="858">
        <f t="shared" si="0"/>
        <v>0</v>
      </c>
      <c r="K4" s="856">
        <f t="shared" si="0"/>
        <v>0</v>
      </c>
      <c r="L4" s="859">
        <f t="shared" si="0"/>
        <v>0</v>
      </c>
    </row>
    <row r="5" spans="1:12">
      <c r="A5" s="860"/>
      <c r="B5" s="2840" t="s">
        <v>2519</v>
      </c>
      <c r="C5" s="2841"/>
      <c r="D5" s="2841"/>
      <c r="E5" s="861"/>
      <c r="F5" s="862">
        <f>SUM(G5:L5)</f>
        <v>0</v>
      </c>
      <c r="G5" s="863">
        <f t="shared" si="0"/>
        <v>0</v>
      </c>
      <c r="H5" s="864">
        <f t="shared" si="0"/>
        <v>0</v>
      </c>
      <c r="I5" s="864">
        <f t="shared" si="0"/>
        <v>0</v>
      </c>
      <c r="J5" s="864">
        <f t="shared" si="0"/>
        <v>0</v>
      </c>
      <c r="K5" s="862">
        <f t="shared" si="0"/>
        <v>0</v>
      </c>
      <c r="L5" s="865">
        <f t="shared" si="0"/>
        <v>0</v>
      </c>
    </row>
    <row r="6" spans="1:12">
      <c r="A6" s="866"/>
      <c r="B6" s="2582" t="s">
        <v>234</v>
      </c>
      <c r="C6" s="2842"/>
      <c r="D6" s="2842"/>
      <c r="E6" s="867"/>
      <c r="F6" s="868">
        <f>SUM(G6:L6)</f>
        <v>0</v>
      </c>
      <c r="G6" s="869">
        <f t="shared" ref="G6:L6" si="1">G60</f>
        <v>0</v>
      </c>
      <c r="H6" s="870">
        <f t="shared" si="1"/>
        <v>0</v>
      </c>
      <c r="I6" s="870">
        <f t="shared" si="1"/>
        <v>0</v>
      </c>
      <c r="J6" s="870">
        <f t="shared" si="1"/>
        <v>0</v>
      </c>
      <c r="K6" s="868">
        <f t="shared" si="1"/>
        <v>0</v>
      </c>
      <c r="L6" s="871">
        <f t="shared" si="1"/>
        <v>0</v>
      </c>
    </row>
    <row r="7" spans="1:12">
      <c r="A7" s="840"/>
      <c r="B7" s="1337"/>
      <c r="C7" s="1338"/>
      <c r="D7" s="1339"/>
      <c r="E7" s="1340"/>
      <c r="F7" s="1341"/>
      <c r="G7" s="1342" t="s">
        <v>2732</v>
      </c>
      <c r="H7" s="1343"/>
      <c r="I7" s="1344"/>
      <c r="J7" s="1344"/>
      <c r="K7" s="1344"/>
      <c r="L7" s="1344" t="s">
        <v>2521</v>
      </c>
    </row>
    <row r="8" spans="1:12" ht="15">
      <c r="A8" s="877"/>
      <c r="B8" s="878"/>
      <c r="C8" s="879" t="s">
        <v>2522</v>
      </c>
      <c r="D8" s="880"/>
      <c r="E8" s="881"/>
      <c r="F8" s="882" t="s">
        <v>2600</v>
      </c>
      <c r="G8" s="1345">
        <f>G65</f>
        <v>3.5</v>
      </c>
      <c r="H8" s="1345"/>
      <c r="I8" s="1345"/>
      <c r="J8" s="1345"/>
      <c r="K8" s="1345"/>
      <c r="L8" s="1346"/>
    </row>
    <row r="9" spans="1:12" s="1287" customFormat="1" ht="13.5" customHeight="1">
      <c r="A9" s="1347"/>
      <c r="B9" s="1348" t="s">
        <v>2733</v>
      </c>
      <c r="C9" s="1349"/>
      <c r="D9" s="1349"/>
      <c r="E9" s="1350"/>
      <c r="F9" s="1351">
        <f>SUM(G9:L9)</f>
        <v>2000000</v>
      </c>
      <c r="G9" s="1352">
        <v>2000000</v>
      </c>
      <c r="H9" s="1352"/>
      <c r="I9" s="1352"/>
      <c r="J9" s="1352"/>
      <c r="K9" s="1352"/>
      <c r="L9" s="1353"/>
    </row>
    <row r="10" spans="1:12" s="1287" customFormat="1" ht="13.5" customHeight="1">
      <c r="A10" s="1354"/>
      <c r="B10" s="1355" t="s">
        <v>2734</v>
      </c>
      <c r="C10" s="1356"/>
      <c r="D10" s="1356"/>
      <c r="E10" s="1357"/>
      <c r="F10" s="1358"/>
      <c r="G10" s="1359">
        <v>100000</v>
      </c>
      <c r="H10" s="1359"/>
      <c r="I10" s="1359"/>
      <c r="J10" s="1359"/>
      <c r="K10" s="1359"/>
      <c r="L10" s="1360"/>
    </row>
    <row r="11" spans="1:12" s="1287" customFormat="1" ht="13.5" customHeight="1">
      <c r="A11" s="1354"/>
      <c r="B11" s="1361"/>
      <c r="C11" s="1362" t="s">
        <v>2735</v>
      </c>
      <c r="D11" s="1362"/>
      <c r="E11" s="1363"/>
      <c r="F11" s="1364"/>
      <c r="G11" s="1365">
        <v>70000</v>
      </c>
      <c r="H11" s="1365"/>
      <c r="I11" s="1365"/>
      <c r="J11" s="1365"/>
      <c r="K11" s="1365"/>
      <c r="L11" s="1366"/>
    </row>
    <row r="12" spans="1:12" s="1287" customFormat="1" ht="13.5" customHeight="1">
      <c r="A12" s="1367"/>
      <c r="B12" s="1368" t="s">
        <v>2736</v>
      </c>
      <c r="C12" s="1369"/>
      <c r="D12" s="1369"/>
      <c r="E12" s="1370"/>
      <c r="F12" s="1371">
        <f>SUM(G12:L12)</f>
        <v>1729508</v>
      </c>
      <c r="G12" s="1372">
        <f t="shared" ref="G12:L12" si="2">+G217-G72</f>
        <v>1729508</v>
      </c>
      <c r="H12" s="1372">
        <f t="shared" si="2"/>
        <v>0</v>
      </c>
      <c r="I12" s="1372">
        <f t="shared" si="2"/>
        <v>0</v>
      </c>
      <c r="J12" s="1372">
        <f t="shared" si="2"/>
        <v>0</v>
      </c>
      <c r="K12" s="1372">
        <f t="shared" si="2"/>
        <v>0</v>
      </c>
      <c r="L12" s="1372">
        <f t="shared" si="2"/>
        <v>0</v>
      </c>
    </row>
    <row r="13" spans="1:12" s="1287" customFormat="1" ht="13.5" hidden="1" customHeight="1">
      <c r="A13" s="1354"/>
      <c r="B13" s="1368" t="s">
        <v>2737</v>
      </c>
      <c r="C13" s="1369"/>
      <c r="D13" s="1369"/>
      <c r="E13" s="1370"/>
      <c r="F13" s="1371">
        <f>SUM(G13:L13)</f>
        <v>100000</v>
      </c>
      <c r="G13" s="1372">
        <f t="shared" ref="G13:L13" si="3">G214-G69</f>
        <v>100000</v>
      </c>
      <c r="H13" s="1372">
        <f t="shared" si="3"/>
        <v>0</v>
      </c>
      <c r="I13" s="1372">
        <f t="shared" si="3"/>
        <v>0</v>
      </c>
      <c r="J13" s="1372">
        <f t="shared" si="3"/>
        <v>0</v>
      </c>
      <c r="K13" s="1372">
        <f t="shared" si="3"/>
        <v>0</v>
      </c>
      <c r="L13" s="1372">
        <f t="shared" si="3"/>
        <v>0</v>
      </c>
    </row>
    <row r="14" spans="1:12" s="1287" customFormat="1" ht="13.5" customHeight="1">
      <c r="A14" s="1354"/>
      <c r="B14" s="1373" t="s">
        <v>2738</v>
      </c>
      <c r="C14" s="1362"/>
      <c r="D14" s="1362"/>
      <c r="E14" s="1363"/>
      <c r="F14" s="1374">
        <f>SUM(G14:L14)</f>
        <v>94000</v>
      </c>
      <c r="G14" s="1375">
        <f t="shared" ref="G14:L14" si="4">G220-G75</f>
        <v>94000</v>
      </c>
      <c r="H14" s="1375">
        <f t="shared" si="4"/>
        <v>0</v>
      </c>
      <c r="I14" s="1375">
        <f t="shared" si="4"/>
        <v>0</v>
      </c>
      <c r="J14" s="1375">
        <f t="shared" si="4"/>
        <v>0</v>
      </c>
      <c r="K14" s="1375">
        <f t="shared" si="4"/>
        <v>0</v>
      </c>
      <c r="L14" s="1375">
        <f t="shared" si="4"/>
        <v>0</v>
      </c>
    </row>
    <row r="15" spans="1:12">
      <c r="A15" s="1376" t="s">
        <v>2739</v>
      </c>
      <c r="B15" s="1377"/>
      <c r="C15" s="1378"/>
      <c r="D15" s="1379" t="s">
        <v>2635</v>
      </c>
      <c r="E15" s="1379" t="s">
        <v>2668</v>
      </c>
      <c r="F15" s="1379"/>
      <c r="G15" s="1379"/>
      <c r="H15" s="1379"/>
      <c r="I15" s="1379"/>
      <c r="J15" s="1379"/>
      <c r="K15" s="1379"/>
      <c r="L15" s="1380"/>
    </row>
    <row r="16" spans="1:12">
      <c r="A16" s="1381"/>
      <c r="B16" s="2799" t="s">
        <v>2740</v>
      </c>
      <c r="C16" s="1382" t="str">
        <f>+C88</f>
        <v>(1)新築一般建築工事</v>
      </c>
      <c r="D16" s="1382"/>
      <c r="E16" s="1383"/>
      <c r="F16" s="1384">
        <f>SUM(G16:L16)</f>
        <v>0</v>
      </c>
      <c r="G16" s="1385"/>
      <c r="H16" s="1385"/>
      <c r="I16" s="1385"/>
      <c r="J16" s="1385"/>
      <c r="K16" s="1385"/>
      <c r="L16" s="1386"/>
    </row>
    <row r="17" spans="1:12">
      <c r="A17" s="1381"/>
      <c r="B17" s="2803"/>
      <c r="C17" s="1387" t="str">
        <f t="shared" ref="C17:C23" si="5">+C89</f>
        <v>(2)改修一般建築工事</v>
      </c>
      <c r="D17" s="1387"/>
      <c r="E17" s="1388"/>
      <c r="F17" s="1389">
        <f t="shared" ref="F17:F34" si="6">SUM(G17:L17)</f>
        <v>570000</v>
      </c>
      <c r="G17" s="917">
        <f t="shared" ref="G17:L17" si="7">G35-G16-SUM(G18:G34)</f>
        <v>570000</v>
      </c>
      <c r="H17" s="917">
        <f t="shared" si="7"/>
        <v>0</v>
      </c>
      <c r="I17" s="917">
        <f t="shared" si="7"/>
        <v>0</v>
      </c>
      <c r="J17" s="917">
        <f t="shared" si="7"/>
        <v>0</v>
      </c>
      <c r="K17" s="917">
        <f t="shared" si="7"/>
        <v>0</v>
      </c>
      <c r="L17" s="918">
        <f t="shared" si="7"/>
        <v>0</v>
      </c>
    </row>
    <row r="18" spans="1:12">
      <c r="A18" s="1381"/>
      <c r="B18" s="2802" t="s">
        <v>2741</v>
      </c>
      <c r="C18" s="1387" t="str">
        <f t="shared" si="5"/>
        <v>(3)共通仮設工事（下請経費共）(警備員等除く)</v>
      </c>
      <c r="D18" s="1387"/>
      <c r="E18" s="1390">
        <f>+E115</f>
        <v>0.25</v>
      </c>
      <c r="F18" s="1389">
        <f t="shared" si="6"/>
        <v>30000</v>
      </c>
      <c r="G18" s="917">
        <f t="shared" ref="G18:L18" si="8">IF(G33=0,G10-G11,0)</f>
        <v>30000</v>
      </c>
      <c r="H18" s="917">
        <f t="shared" si="8"/>
        <v>0</v>
      </c>
      <c r="I18" s="917">
        <f t="shared" si="8"/>
        <v>0</v>
      </c>
      <c r="J18" s="917">
        <f t="shared" si="8"/>
        <v>0</v>
      </c>
      <c r="K18" s="917">
        <f t="shared" si="8"/>
        <v>0</v>
      </c>
      <c r="L18" s="918">
        <f t="shared" si="8"/>
        <v>0</v>
      </c>
    </row>
    <row r="19" spans="1:12">
      <c r="A19" s="1381"/>
      <c r="B19" s="2800"/>
      <c r="C19" s="1387" t="str">
        <f t="shared" si="5"/>
        <v>(4)直接仮設工事（下請経費共）</v>
      </c>
      <c r="D19" s="1387"/>
      <c r="E19" s="1390">
        <f>+E116</f>
        <v>0.25</v>
      </c>
      <c r="F19" s="1389">
        <f t="shared" si="6"/>
        <v>0</v>
      </c>
      <c r="G19" s="1391">
        <v>0</v>
      </c>
      <c r="H19" s="1391"/>
      <c r="I19" s="1391"/>
      <c r="J19" s="1391"/>
      <c r="K19" s="1391"/>
      <c r="L19" s="1392"/>
    </row>
    <row r="20" spans="1:12">
      <c r="A20" s="1381"/>
      <c r="B20" s="2800"/>
      <c r="C20" s="1387" t="str">
        <f t="shared" si="5"/>
        <v>(5)塗装工事（下請経費共）</v>
      </c>
      <c r="D20" s="1387"/>
      <c r="E20" s="1390">
        <f>+E117</f>
        <v>0.22</v>
      </c>
      <c r="F20" s="1389">
        <f t="shared" si="6"/>
        <v>1500000</v>
      </c>
      <c r="G20" s="1391">
        <v>1500000</v>
      </c>
      <c r="H20" s="1391"/>
      <c r="I20" s="1391"/>
      <c r="J20" s="1391"/>
      <c r="K20" s="1391"/>
      <c r="L20" s="1392"/>
    </row>
    <row r="21" spans="1:12">
      <c r="A21" s="1381"/>
      <c r="B21" s="2800"/>
      <c r="C21" s="1387" t="str">
        <f t="shared" si="5"/>
        <v>(6)場内小運搬費（下請経費共）</v>
      </c>
      <c r="D21" s="1387"/>
      <c r="E21" s="1390">
        <f>+E118</f>
        <v>0.25</v>
      </c>
      <c r="F21" s="1389">
        <f t="shared" si="6"/>
        <v>0</v>
      </c>
      <c r="G21" s="1391"/>
      <c r="H21" s="1391"/>
      <c r="I21" s="1391"/>
      <c r="J21" s="1391"/>
      <c r="K21" s="1391"/>
      <c r="L21" s="1392"/>
    </row>
    <row r="22" spans="1:12">
      <c r="A22" s="1381"/>
      <c r="B22" s="2800"/>
      <c r="C22" s="1387" t="str">
        <f t="shared" si="5"/>
        <v>(7)〃人力積込み費（下請経費共）</v>
      </c>
      <c r="D22" s="1387"/>
      <c r="E22" s="1390">
        <f>+E119</f>
        <v>0.25</v>
      </c>
      <c r="F22" s="1389">
        <f t="shared" si="6"/>
        <v>0</v>
      </c>
      <c r="G22" s="1391"/>
      <c r="H22" s="1391"/>
      <c r="I22" s="1391"/>
      <c r="J22" s="1391"/>
      <c r="K22" s="1391"/>
      <c r="L22" s="1392"/>
    </row>
    <row r="23" spans="1:12">
      <c r="A23" s="1381"/>
      <c r="B23" s="2800"/>
      <c r="C23" s="1387" t="str">
        <f t="shared" si="5"/>
        <v>(8)</v>
      </c>
      <c r="D23" s="1387"/>
      <c r="E23" s="1390"/>
      <c r="F23" s="1389">
        <f t="shared" si="6"/>
        <v>0</v>
      </c>
      <c r="G23" s="917"/>
      <c r="H23" s="917"/>
      <c r="I23" s="917"/>
      <c r="J23" s="917"/>
      <c r="K23" s="917"/>
      <c r="L23" s="918"/>
    </row>
    <row r="24" spans="1:12">
      <c r="A24" s="1381"/>
      <c r="B24" s="2800"/>
      <c r="C24" s="1387"/>
      <c r="D24" s="1387"/>
      <c r="E24" s="1388"/>
      <c r="F24" s="1389">
        <f t="shared" si="6"/>
        <v>0</v>
      </c>
      <c r="G24" s="917"/>
      <c r="H24" s="917"/>
      <c r="I24" s="917"/>
      <c r="J24" s="917"/>
      <c r="K24" s="917"/>
      <c r="L24" s="918"/>
    </row>
    <row r="25" spans="1:12">
      <c r="A25" s="1381"/>
      <c r="B25" s="2802" t="s">
        <v>477</v>
      </c>
      <c r="C25" s="1393" t="str">
        <f t="shared" ref="C25:C34" si="9">+C98</f>
        <v>(9)近隣家屋調査及び地質調査</v>
      </c>
      <c r="D25" s="1387"/>
      <c r="E25" s="1388"/>
      <c r="F25" s="1389">
        <f t="shared" si="6"/>
        <v>0</v>
      </c>
      <c r="G25" s="1391"/>
      <c r="H25" s="1391"/>
      <c r="I25" s="1391"/>
      <c r="J25" s="1391"/>
      <c r="K25" s="1391"/>
      <c r="L25" s="1392"/>
    </row>
    <row r="26" spans="1:12">
      <c r="A26" s="1381"/>
      <c r="B26" s="2800"/>
      <c r="C26" s="1393" t="str">
        <f t="shared" si="9"/>
        <v>(10)とりこわし工事</v>
      </c>
      <c r="D26" s="1387"/>
      <c r="E26" s="1388"/>
      <c r="F26" s="1389">
        <f>SUM(G26:L26)</f>
        <v>0</v>
      </c>
      <c r="G26" s="1391"/>
      <c r="H26" s="1391"/>
      <c r="I26" s="1391"/>
      <c r="J26" s="1391"/>
      <c r="K26" s="1391"/>
      <c r="L26" s="1392"/>
    </row>
    <row r="27" spans="1:12">
      <c r="A27" s="1381"/>
      <c r="B27" s="2803"/>
      <c r="C27" s="1393" t="str">
        <f t="shared" si="9"/>
        <v>(11)</v>
      </c>
      <c r="D27" s="1387"/>
      <c r="E27" s="1388"/>
      <c r="F27" s="1389">
        <f t="shared" si="6"/>
        <v>0</v>
      </c>
      <c r="G27" s="1391"/>
      <c r="H27" s="1391"/>
      <c r="I27" s="1391"/>
      <c r="J27" s="1391"/>
      <c r="K27" s="1391"/>
      <c r="L27" s="1392"/>
    </row>
    <row r="28" spans="1:12" ht="13.5" customHeight="1">
      <c r="A28" s="1381"/>
      <c r="B28" s="2802" t="s">
        <v>2556</v>
      </c>
      <c r="C28" s="1387" t="str">
        <f t="shared" si="9"/>
        <v>(12)残材処分費及び残土処分費</v>
      </c>
      <c r="D28" s="1387"/>
      <c r="E28" s="1388"/>
      <c r="F28" s="1389">
        <f t="shared" si="6"/>
        <v>0</v>
      </c>
      <c r="G28" s="1391"/>
      <c r="H28" s="1391"/>
      <c r="I28" s="1391"/>
      <c r="J28" s="1391"/>
      <c r="K28" s="1391"/>
      <c r="L28" s="1392"/>
    </row>
    <row r="29" spans="1:12">
      <c r="A29" s="1381"/>
      <c r="B29" s="2800"/>
      <c r="C29" s="1387"/>
      <c r="D29" s="1387"/>
      <c r="E29" s="1388"/>
      <c r="F29" s="1389">
        <f>SUM(G29:L29)</f>
        <v>0</v>
      </c>
      <c r="G29" s="1391"/>
      <c r="H29" s="1391"/>
      <c r="I29" s="1391"/>
      <c r="J29" s="1391"/>
      <c r="K29" s="1391"/>
      <c r="L29" s="1392"/>
    </row>
    <row r="30" spans="1:12">
      <c r="A30" s="1381"/>
      <c r="B30" s="2800"/>
      <c r="C30" s="1387" t="str">
        <f t="shared" si="9"/>
        <v>(14)リース料（共通仮設）</v>
      </c>
      <c r="D30" s="1387"/>
      <c r="E30" s="1388"/>
      <c r="F30" s="1389">
        <f>SUM(G30:L30)</f>
        <v>0</v>
      </c>
      <c r="G30" s="1391"/>
      <c r="H30" s="1391"/>
      <c r="I30" s="1391"/>
      <c r="J30" s="1391"/>
      <c r="K30" s="1391"/>
      <c r="L30" s="1392"/>
    </row>
    <row r="31" spans="1:12">
      <c r="A31" s="1381"/>
      <c r="B31" s="2800"/>
      <c r="C31" s="1387" t="str">
        <f t="shared" si="9"/>
        <v>(15)借地借家料（共通仮設）</v>
      </c>
      <c r="D31" s="1394"/>
      <c r="E31" s="1395"/>
      <c r="F31" s="1396">
        <f>SUM(G31:L31)</f>
        <v>0</v>
      </c>
      <c r="G31" s="1397"/>
      <c r="H31" s="1397"/>
      <c r="I31" s="1397"/>
      <c r="J31" s="1397"/>
      <c r="K31" s="1397"/>
      <c r="L31" s="1398"/>
    </row>
    <row r="32" spans="1:12">
      <c r="A32" s="1381"/>
      <c r="B32" s="2800"/>
      <c r="C32" s="1387" t="str">
        <f t="shared" si="9"/>
        <v>(16)別途算定（直工費）</v>
      </c>
      <c r="D32" s="1387"/>
      <c r="E32" s="1388"/>
      <c r="F32" s="1389">
        <f t="shared" si="6"/>
        <v>0</v>
      </c>
      <c r="G32" s="1399"/>
      <c r="H32" s="1399"/>
      <c r="I32" s="1399"/>
      <c r="J32" s="1399"/>
      <c r="K32" s="1399"/>
      <c r="L32" s="1400"/>
    </row>
    <row r="33" spans="1:12">
      <c r="A33" s="1381"/>
      <c r="B33" s="2800"/>
      <c r="C33" s="1387" t="str">
        <f t="shared" si="9"/>
        <v>(17)別途算定（共通仮設）</v>
      </c>
      <c r="D33" s="1387"/>
      <c r="E33" s="1388"/>
      <c r="F33" s="1389">
        <f t="shared" si="6"/>
        <v>0</v>
      </c>
      <c r="G33" s="1399"/>
      <c r="H33" s="1399"/>
      <c r="I33" s="1399"/>
      <c r="J33" s="1399"/>
      <c r="K33" s="1399"/>
      <c r="L33" s="1400"/>
    </row>
    <row r="34" spans="1:12" ht="15" thickBot="1">
      <c r="A34" s="1381"/>
      <c r="B34" s="2800"/>
      <c r="C34" s="1401" t="str">
        <f t="shared" si="9"/>
        <v>(18)下水道使用料、各種負担金（共通仮設）</v>
      </c>
      <c r="D34" s="1401"/>
      <c r="E34" s="1395"/>
      <c r="F34" s="1396">
        <f t="shared" si="6"/>
        <v>0</v>
      </c>
      <c r="G34" s="1397"/>
      <c r="H34" s="1397"/>
      <c r="I34" s="1397"/>
      <c r="J34" s="1397"/>
      <c r="K34" s="1397"/>
      <c r="L34" s="1398"/>
    </row>
    <row r="35" spans="1:12">
      <c r="A35" s="1402"/>
      <c r="B35" s="1403"/>
      <c r="C35" s="1404" t="s">
        <v>2742</v>
      </c>
      <c r="D35" s="1405"/>
      <c r="E35" s="1406"/>
      <c r="F35" s="1407"/>
      <c r="G35" s="1408">
        <f t="shared" ref="G35:L35" si="10">+G9+G10+G29+G30+G31+G33+G34</f>
        <v>2100000</v>
      </c>
      <c r="H35" s="1408">
        <f t="shared" si="10"/>
        <v>0</v>
      </c>
      <c r="I35" s="1408">
        <f t="shared" si="10"/>
        <v>0</v>
      </c>
      <c r="J35" s="1408">
        <f t="shared" si="10"/>
        <v>0</v>
      </c>
      <c r="K35" s="1408">
        <f t="shared" si="10"/>
        <v>0</v>
      </c>
      <c r="L35" s="1409">
        <f t="shared" si="10"/>
        <v>0</v>
      </c>
    </row>
    <row r="36" spans="1:12">
      <c r="A36" s="1410"/>
      <c r="B36" s="1411"/>
      <c r="C36" s="1412" t="s">
        <v>2743</v>
      </c>
      <c r="D36" s="1413"/>
      <c r="E36" s="1414"/>
      <c r="F36" s="1415"/>
      <c r="G36" s="984">
        <f t="shared" ref="G36:L36" si="11">SUM(G258:G271)-SUM(G113:G126)</f>
        <v>1823508</v>
      </c>
      <c r="H36" s="984">
        <f t="shared" si="11"/>
        <v>0</v>
      </c>
      <c r="I36" s="984">
        <f t="shared" si="11"/>
        <v>0</v>
      </c>
      <c r="J36" s="984">
        <f t="shared" si="11"/>
        <v>0</v>
      </c>
      <c r="K36" s="984">
        <f t="shared" si="11"/>
        <v>0</v>
      </c>
      <c r="L36" s="1416">
        <f t="shared" si="11"/>
        <v>0</v>
      </c>
    </row>
    <row r="37" spans="1:12">
      <c r="A37" s="2843" t="s">
        <v>2744</v>
      </c>
      <c r="B37" s="2843"/>
      <c r="C37" s="2844"/>
      <c r="D37" s="949"/>
      <c r="E37" s="950"/>
      <c r="F37" s="951"/>
      <c r="G37" s="952"/>
      <c r="H37" s="952"/>
      <c r="I37" s="952"/>
      <c r="J37" s="952"/>
      <c r="K37" s="952"/>
      <c r="L37" s="1417"/>
    </row>
    <row r="38" spans="1:12" ht="13.5" customHeight="1">
      <c r="A38" s="2589"/>
      <c r="B38" s="1418" t="s">
        <v>2745</v>
      </c>
      <c r="C38" s="1419" t="s">
        <v>2746</v>
      </c>
      <c r="D38" s="955"/>
      <c r="E38" s="961"/>
      <c r="F38" s="1420">
        <f>SUM(G38:L38)</f>
        <v>128877</v>
      </c>
      <c r="G38" s="917">
        <f t="shared" ref="G38:L38" si="12">-(+G129+G131)+(G274+G276)</f>
        <v>128877</v>
      </c>
      <c r="H38" s="917">
        <f t="shared" si="12"/>
        <v>0</v>
      </c>
      <c r="I38" s="917">
        <f t="shared" si="12"/>
        <v>0</v>
      </c>
      <c r="J38" s="917">
        <f t="shared" si="12"/>
        <v>0</v>
      </c>
      <c r="K38" s="917">
        <f t="shared" si="12"/>
        <v>0</v>
      </c>
      <c r="L38" s="918">
        <f t="shared" si="12"/>
        <v>0</v>
      </c>
    </row>
    <row r="39" spans="1:12">
      <c r="A39" s="2589"/>
      <c r="B39" s="1421" t="s">
        <v>2747</v>
      </c>
      <c r="C39" s="1422" t="s">
        <v>2748</v>
      </c>
      <c r="D39" s="955"/>
      <c r="E39" s="961"/>
      <c r="F39" s="1420">
        <f>SUM(G39:L39)</f>
        <v>138246</v>
      </c>
      <c r="G39" s="917">
        <f t="shared" ref="G39:L39" si="13">SUM(G277:G284)-SUM(G132:G139)</f>
        <v>138246</v>
      </c>
      <c r="H39" s="917">
        <f t="shared" si="13"/>
        <v>0</v>
      </c>
      <c r="I39" s="917">
        <f t="shared" si="13"/>
        <v>0</v>
      </c>
      <c r="J39" s="917">
        <f t="shared" si="13"/>
        <v>0</v>
      </c>
      <c r="K39" s="917">
        <f t="shared" si="13"/>
        <v>0</v>
      </c>
      <c r="L39" s="918">
        <f t="shared" si="13"/>
        <v>0</v>
      </c>
    </row>
    <row r="40" spans="1:12">
      <c r="A40" s="2589"/>
      <c r="B40" s="1423" t="s">
        <v>477</v>
      </c>
      <c r="C40" s="1422" t="s">
        <v>2749</v>
      </c>
      <c r="D40" s="955">
        <f>IF(OR($Y$2="下請け",$Y$2="下請"),0.6,1)</f>
        <v>1</v>
      </c>
      <c r="E40" s="961">
        <v>0.02</v>
      </c>
      <c r="F40" s="1420">
        <f>SUM(G40:L40)</f>
        <v>0</v>
      </c>
      <c r="G40" s="917">
        <f t="shared" ref="G40:L40" si="14">SUM(G285:G287)-SUM(G140:G142)</f>
        <v>0</v>
      </c>
      <c r="H40" s="917">
        <f t="shared" si="14"/>
        <v>0</v>
      </c>
      <c r="I40" s="917">
        <f t="shared" si="14"/>
        <v>0</v>
      </c>
      <c r="J40" s="917">
        <f t="shared" si="14"/>
        <v>0</v>
      </c>
      <c r="K40" s="917">
        <f t="shared" si="14"/>
        <v>0</v>
      </c>
      <c r="L40" s="918">
        <f t="shared" si="14"/>
        <v>0</v>
      </c>
    </row>
    <row r="41" spans="1:12">
      <c r="A41" s="2589"/>
      <c r="B41" s="2845" t="s">
        <v>2750</v>
      </c>
      <c r="C41" s="1424" t="s">
        <v>2751</v>
      </c>
      <c r="D41" s="969">
        <f>IF(OR($Y$2="下請け",$Y$2="下請"),0.6,1)</f>
        <v>1</v>
      </c>
      <c r="E41" s="970">
        <v>0</v>
      </c>
      <c r="F41" s="971">
        <f t="shared" ref="F41:F57" si="15">SUM(G41:L41)</f>
        <v>0</v>
      </c>
      <c r="G41" s="912">
        <v>0</v>
      </c>
      <c r="H41" s="912">
        <v>0</v>
      </c>
      <c r="I41" s="912">
        <v>0</v>
      </c>
      <c r="J41" s="912">
        <v>0</v>
      </c>
      <c r="K41" s="912">
        <v>0</v>
      </c>
      <c r="L41" s="913">
        <v>0</v>
      </c>
    </row>
    <row r="42" spans="1:12">
      <c r="A42" s="2589"/>
      <c r="B42" s="2846"/>
      <c r="C42" s="1424" t="s">
        <v>2752</v>
      </c>
      <c r="D42" s="969">
        <f>IF(OR($Y$2="下請け",$Y$2="下請"),0.6,1)</f>
        <v>1</v>
      </c>
      <c r="E42" s="970">
        <v>0</v>
      </c>
      <c r="F42" s="971">
        <f t="shared" si="15"/>
        <v>0</v>
      </c>
      <c r="G42" s="1399"/>
      <c r="H42" s="1399"/>
      <c r="I42" s="1399"/>
      <c r="J42" s="1399"/>
      <c r="K42" s="1399"/>
      <c r="L42" s="1400"/>
    </row>
    <row r="43" spans="1:12">
      <c r="A43" s="974"/>
      <c r="B43" s="2834" t="s">
        <v>2753</v>
      </c>
      <c r="C43" s="2835"/>
      <c r="D43" s="1425"/>
      <c r="E43" s="1426"/>
      <c r="F43" s="957">
        <f t="shared" si="15"/>
        <v>267123</v>
      </c>
      <c r="G43" s="917">
        <f t="shared" ref="G43:L43" si="16">G292-G147</f>
        <v>267123</v>
      </c>
      <c r="H43" s="917">
        <f t="shared" si="16"/>
        <v>0</v>
      </c>
      <c r="I43" s="917">
        <f t="shared" si="16"/>
        <v>0</v>
      </c>
      <c r="J43" s="917">
        <f t="shared" si="16"/>
        <v>0</v>
      </c>
      <c r="K43" s="917">
        <f t="shared" si="16"/>
        <v>0</v>
      </c>
      <c r="L43" s="918">
        <f t="shared" si="16"/>
        <v>0</v>
      </c>
    </row>
    <row r="44" spans="1:12">
      <c r="A44" s="974"/>
      <c r="B44" s="1427"/>
      <c r="C44" s="1428" t="s">
        <v>2578</v>
      </c>
      <c r="D44" s="1425"/>
      <c r="E44" s="1426"/>
      <c r="F44" s="957">
        <f t="shared" si="15"/>
        <v>0</v>
      </c>
      <c r="G44" s="917">
        <f t="shared" ref="G44:L44" si="17">IF(G$35=0,IF(G$8=G$65,G$43,0),0)</f>
        <v>0</v>
      </c>
      <c r="H44" s="917">
        <f t="shared" si="17"/>
        <v>0</v>
      </c>
      <c r="I44" s="917">
        <f t="shared" si="17"/>
        <v>0</v>
      </c>
      <c r="J44" s="917">
        <f t="shared" si="17"/>
        <v>0</v>
      </c>
      <c r="K44" s="917">
        <f t="shared" si="17"/>
        <v>0</v>
      </c>
      <c r="L44" s="918">
        <f t="shared" si="17"/>
        <v>0</v>
      </c>
    </row>
    <row r="45" spans="1:12">
      <c r="A45" s="974"/>
      <c r="B45" s="1427"/>
      <c r="C45" s="1428" t="s">
        <v>2579</v>
      </c>
      <c r="D45" s="1425"/>
      <c r="E45" s="1426"/>
      <c r="F45" s="957">
        <f t="shared" si="15"/>
        <v>2100000</v>
      </c>
      <c r="G45" s="1429">
        <f t="shared" ref="G45:L45" si="18">G35-(G32+G33)</f>
        <v>2100000</v>
      </c>
      <c r="H45" s="1429">
        <f t="shared" si="18"/>
        <v>0</v>
      </c>
      <c r="I45" s="1429">
        <f t="shared" si="18"/>
        <v>0</v>
      </c>
      <c r="J45" s="1429">
        <f t="shared" si="18"/>
        <v>0</v>
      </c>
      <c r="K45" s="1429">
        <f t="shared" si="18"/>
        <v>0</v>
      </c>
      <c r="L45" s="1429">
        <f t="shared" si="18"/>
        <v>0</v>
      </c>
    </row>
    <row r="46" spans="1:12">
      <c r="A46" s="974"/>
      <c r="B46" s="1427"/>
      <c r="C46" s="1428" t="s">
        <v>2580</v>
      </c>
      <c r="D46" s="1425"/>
      <c r="E46" s="1426"/>
      <c r="F46" s="957">
        <f>SUM(G46:N46)</f>
        <v>0</v>
      </c>
      <c r="G46" s="917">
        <f t="shared" ref="G46:L46" si="19">IF($F$44=0,0,IF(G44=0,INT(G45/$F45*$F44),0))</f>
        <v>0</v>
      </c>
      <c r="H46" s="917">
        <f t="shared" si="19"/>
        <v>0</v>
      </c>
      <c r="I46" s="917">
        <f t="shared" si="19"/>
        <v>0</v>
      </c>
      <c r="J46" s="917">
        <f t="shared" si="19"/>
        <v>0</v>
      </c>
      <c r="K46" s="917">
        <f t="shared" si="19"/>
        <v>0</v>
      </c>
      <c r="L46" s="917">
        <f t="shared" si="19"/>
        <v>0</v>
      </c>
    </row>
    <row r="47" spans="1:12">
      <c r="A47" s="974"/>
      <c r="B47" s="1427"/>
      <c r="C47" s="1428" t="s">
        <v>2581</v>
      </c>
      <c r="D47" s="1425"/>
      <c r="E47" s="1426"/>
      <c r="F47" s="957">
        <f>F44-F46</f>
        <v>0</v>
      </c>
      <c r="G47" s="917">
        <f>IF($F47=0,0,IF(G46=0,0,$F47))</f>
        <v>0</v>
      </c>
      <c r="H47" s="917">
        <f>IF($F47=0,0,IF(H46=0,0,IF(SUM($G47:G47)=0,$F47,0)))</f>
        <v>0</v>
      </c>
      <c r="I47" s="917">
        <f>IF($F47=0,0,IF(I46=0,0,IF(SUM($G47:H47)=0,$F47,0)))</f>
        <v>0</v>
      </c>
      <c r="J47" s="917">
        <f>IF($F47=0,0,IF(J46=0,0,IF(SUM($G47:I47)=0,$F47,0)))</f>
        <v>0</v>
      </c>
      <c r="K47" s="917">
        <f>IF($F47=0,0,IF(K46=0,0,IF(SUM($G47:J47)=0,$F47,0)))</f>
        <v>0</v>
      </c>
      <c r="L47" s="918">
        <f>IF($F47=0,0,IF(L46=0,0,IF(SUM($G47:K47)=0,$F47,0)))</f>
        <v>0</v>
      </c>
    </row>
    <row r="48" spans="1:12">
      <c r="A48" s="974"/>
      <c r="B48" s="2824" t="s">
        <v>2754</v>
      </c>
      <c r="C48" s="2825"/>
      <c r="D48" s="1430"/>
      <c r="E48" s="1431"/>
      <c r="F48" s="1432">
        <f>SUM(G48:N48)</f>
        <v>267123</v>
      </c>
      <c r="G48" s="1433">
        <f t="shared" ref="G48:L48" si="20">IF(G42=0,IF(G35=0,IF(G8=G65,0,G43+G46+G47),G43+G46+G47),G42)</f>
        <v>267123</v>
      </c>
      <c r="H48" s="1433">
        <f t="shared" si="20"/>
        <v>0</v>
      </c>
      <c r="I48" s="1433">
        <f t="shared" si="20"/>
        <v>0</v>
      </c>
      <c r="J48" s="1433">
        <f t="shared" si="20"/>
        <v>0</v>
      </c>
      <c r="K48" s="1433">
        <f t="shared" si="20"/>
        <v>0</v>
      </c>
      <c r="L48" s="1434">
        <f t="shared" si="20"/>
        <v>0</v>
      </c>
    </row>
    <row r="49" spans="1:12">
      <c r="A49" s="985" t="s">
        <v>2583</v>
      </c>
      <c r="B49" s="1435"/>
      <c r="C49" s="1436"/>
      <c r="D49" s="1379"/>
      <c r="E49" s="1437" t="s">
        <v>2755</v>
      </c>
      <c r="F49" s="989">
        <f t="shared" si="15"/>
        <v>2090631</v>
      </c>
      <c r="G49" s="1438">
        <f t="shared" ref="G49:L49" si="21">+G298-G153</f>
        <v>2090631</v>
      </c>
      <c r="H49" s="1438">
        <f t="shared" si="21"/>
        <v>0</v>
      </c>
      <c r="I49" s="1438">
        <f t="shared" si="21"/>
        <v>0</v>
      </c>
      <c r="J49" s="1438">
        <f t="shared" si="21"/>
        <v>0</v>
      </c>
      <c r="K49" s="1438">
        <f t="shared" si="21"/>
        <v>0</v>
      </c>
      <c r="L49" s="1439">
        <f t="shared" si="21"/>
        <v>0</v>
      </c>
    </row>
    <row r="50" spans="1:12">
      <c r="A50" s="991"/>
      <c r="B50" s="2826" t="s">
        <v>2583</v>
      </c>
      <c r="C50" s="2827"/>
      <c r="D50" s="1440"/>
      <c r="E50" s="1441"/>
      <c r="F50" s="989">
        <f t="shared" si="15"/>
        <v>272506</v>
      </c>
      <c r="G50" s="990">
        <f t="shared" ref="G50:L50" si="22">G322-G177</f>
        <v>272506</v>
      </c>
      <c r="H50" s="990">
        <f t="shared" si="22"/>
        <v>0</v>
      </c>
      <c r="I50" s="990">
        <f t="shared" si="22"/>
        <v>0</v>
      </c>
      <c r="J50" s="990">
        <f t="shared" si="22"/>
        <v>0</v>
      </c>
      <c r="K50" s="990">
        <f t="shared" si="22"/>
        <v>0</v>
      </c>
      <c r="L50" s="1442">
        <f t="shared" si="22"/>
        <v>0</v>
      </c>
    </row>
    <row r="51" spans="1:12">
      <c r="A51" s="991"/>
      <c r="B51" s="1443"/>
      <c r="C51" s="1444" t="s">
        <v>2578</v>
      </c>
      <c r="D51" s="1445"/>
      <c r="E51" s="1446"/>
      <c r="F51" s="1024">
        <f>SUM(G51:L51)</f>
        <v>0</v>
      </c>
      <c r="G51" s="1025">
        <f t="shared" ref="G51:L51" si="23">IF(G35=0,IF(G8=G65,G50,0),0)</f>
        <v>0</v>
      </c>
      <c r="H51" s="1025">
        <f t="shared" si="23"/>
        <v>0</v>
      </c>
      <c r="I51" s="1025">
        <f t="shared" si="23"/>
        <v>0</v>
      </c>
      <c r="J51" s="1025">
        <f t="shared" si="23"/>
        <v>0</v>
      </c>
      <c r="K51" s="1025">
        <f t="shared" si="23"/>
        <v>0</v>
      </c>
      <c r="L51" s="1026">
        <f t="shared" si="23"/>
        <v>0</v>
      </c>
    </row>
    <row r="52" spans="1:12">
      <c r="A52" s="991"/>
      <c r="B52" s="1447"/>
      <c r="C52" s="1448" t="s">
        <v>2587</v>
      </c>
      <c r="D52" s="955"/>
      <c r="E52" s="956"/>
      <c r="F52" s="1449">
        <f>SUM(G52:L52)</f>
        <v>2090631</v>
      </c>
      <c r="G52" s="1450">
        <f t="shared" ref="G52:L52" si="24">+G49</f>
        <v>2090631</v>
      </c>
      <c r="H52" s="1450">
        <f t="shared" si="24"/>
        <v>0</v>
      </c>
      <c r="I52" s="1450">
        <f t="shared" si="24"/>
        <v>0</v>
      </c>
      <c r="J52" s="1450">
        <f t="shared" si="24"/>
        <v>0</v>
      </c>
      <c r="K52" s="1450">
        <f t="shared" si="24"/>
        <v>0</v>
      </c>
      <c r="L52" s="1451">
        <f t="shared" si="24"/>
        <v>0</v>
      </c>
    </row>
    <row r="53" spans="1:12">
      <c r="A53" s="991"/>
      <c r="B53" s="1447"/>
      <c r="C53" s="1448" t="s">
        <v>2588</v>
      </c>
      <c r="D53" s="955"/>
      <c r="E53" s="956"/>
      <c r="F53" s="1449">
        <f>SUM(G53:L53)</f>
        <v>0</v>
      </c>
      <c r="G53" s="1450">
        <f t="shared" ref="G53:L53" si="25">IF($F$51=0,0,INT(G52/$F52*$F51))</f>
        <v>0</v>
      </c>
      <c r="H53" s="1450">
        <f t="shared" si="25"/>
        <v>0</v>
      </c>
      <c r="I53" s="1450">
        <f t="shared" si="25"/>
        <v>0</v>
      </c>
      <c r="J53" s="1450">
        <f t="shared" si="25"/>
        <v>0</v>
      </c>
      <c r="K53" s="1450">
        <f t="shared" si="25"/>
        <v>0</v>
      </c>
      <c r="L53" s="1450">
        <f t="shared" si="25"/>
        <v>0</v>
      </c>
    </row>
    <row r="54" spans="1:12">
      <c r="A54" s="991"/>
      <c r="B54" s="1447"/>
      <c r="C54" s="1448" t="s">
        <v>2589</v>
      </c>
      <c r="D54" s="955"/>
      <c r="E54" s="956"/>
      <c r="F54" s="1449">
        <f>F51-F53</f>
        <v>0</v>
      </c>
      <c r="G54" s="1450">
        <f>IF($F54=0,0,IF(G53=0,0,$F54))</f>
        <v>0</v>
      </c>
      <c r="H54" s="1450">
        <f>IF($F54=0,0,IF(H53=0,0,IF(SUM($G54:G54)=0,$F54,0)))</f>
        <v>0</v>
      </c>
      <c r="I54" s="1450">
        <f>IF($F54=0,0,IF(I53=0,0,IF(SUM($G54:H54)=0,$F54,0)))</f>
        <v>0</v>
      </c>
      <c r="J54" s="1450">
        <f>IF($F54=0,0,IF(J53=0,0,IF(SUM($G54:I54)=0,$F54,0)))</f>
        <v>0</v>
      </c>
      <c r="K54" s="1450">
        <f>IF($F54=0,0,IF(K53=0,0,IF(SUM($G54:J54)=0,$F54,0)))</f>
        <v>0</v>
      </c>
      <c r="L54" s="1451">
        <f>IF($F54=0,0,IF(L53=0,0,IF(SUM($G54:K54)=0,$F54,0)))</f>
        <v>0</v>
      </c>
    </row>
    <row r="55" spans="1:12">
      <c r="A55" s="991"/>
      <c r="B55" s="2828" t="s">
        <v>2590</v>
      </c>
      <c r="C55" s="2829"/>
      <c r="D55" s="1452"/>
      <c r="E55" s="1453"/>
      <c r="F55" s="1029">
        <f>SUM(G55:L55)</f>
        <v>272506</v>
      </c>
      <c r="G55" s="1030">
        <f t="shared" ref="G55:L55" si="26">IF(G35=0,IF(G8=G65,0,G50+G53+G54),G50+G53+G54)</f>
        <v>272506</v>
      </c>
      <c r="H55" s="1030">
        <f t="shared" si="26"/>
        <v>0</v>
      </c>
      <c r="I55" s="1030">
        <f t="shared" si="26"/>
        <v>0</v>
      </c>
      <c r="J55" s="1030">
        <f t="shared" si="26"/>
        <v>0</v>
      </c>
      <c r="K55" s="1030">
        <f t="shared" si="26"/>
        <v>0</v>
      </c>
      <c r="L55" s="1031">
        <f t="shared" si="26"/>
        <v>0</v>
      </c>
    </row>
    <row r="56" spans="1:12" ht="15" thickBot="1">
      <c r="A56" s="1009" t="s">
        <v>394</v>
      </c>
      <c r="B56" s="1010"/>
      <c r="C56" s="1011"/>
      <c r="D56" s="1012"/>
      <c r="E56" s="1013"/>
      <c r="F56" s="1014">
        <f t="shared" si="15"/>
        <v>2363137</v>
      </c>
      <c r="G56" s="1454">
        <f t="shared" ref="G56:L56" si="27">G48+G55+G36</f>
        <v>2363137</v>
      </c>
      <c r="H56" s="1015">
        <f t="shared" si="27"/>
        <v>0</v>
      </c>
      <c r="I56" s="1015">
        <f t="shared" si="27"/>
        <v>0</v>
      </c>
      <c r="J56" s="1015">
        <f t="shared" si="27"/>
        <v>0</v>
      </c>
      <c r="K56" s="1015">
        <f t="shared" si="27"/>
        <v>0</v>
      </c>
      <c r="L56" s="1455">
        <f t="shared" si="27"/>
        <v>0</v>
      </c>
    </row>
    <row r="57" spans="1:12" ht="15" thickTop="1">
      <c r="A57" s="1016" t="s">
        <v>234</v>
      </c>
      <c r="B57" s="1017"/>
      <c r="C57" s="1017"/>
      <c r="D57" s="1017"/>
      <c r="E57" s="1018" t="s">
        <v>2592</v>
      </c>
      <c r="F57" s="1019">
        <f t="shared" si="15"/>
        <v>2363000</v>
      </c>
      <c r="G57" s="1020">
        <f t="shared" ref="G57:L57" si="28">IF(G56&lt;0,ROUNDUP(G56,-3),ROUNDDOWN(G56,-3))</f>
        <v>2363000</v>
      </c>
      <c r="H57" s="1020">
        <f t="shared" si="28"/>
        <v>0</v>
      </c>
      <c r="I57" s="1020">
        <f t="shared" si="28"/>
        <v>0</v>
      </c>
      <c r="J57" s="1020">
        <f t="shared" si="28"/>
        <v>0</v>
      </c>
      <c r="K57" s="1020">
        <f t="shared" si="28"/>
        <v>0</v>
      </c>
      <c r="L57" s="1456">
        <f t="shared" si="28"/>
        <v>0</v>
      </c>
    </row>
    <row r="58" spans="1:12">
      <c r="A58" s="1022"/>
      <c r="B58" s="2830" t="s">
        <v>2593</v>
      </c>
      <c r="C58" s="1023" t="s">
        <v>2756</v>
      </c>
      <c r="D58" s="1023"/>
      <c r="E58" s="1023"/>
      <c r="F58" s="1024">
        <f>SUM(G58:L58)</f>
        <v>1823508</v>
      </c>
      <c r="G58" s="1025">
        <f t="shared" ref="G58:L58" si="29">+G216-G71</f>
        <v>1823508</v>
      </c>
      <c r="H58" s="1025">
        <f t="shared" si="29"/>
        <v>0</v>
      </c>
      <c r="I58" s="1025">
        <f t="shared" si="29"/>
        <v>0</v>
      </c>
      <c r="J58" s="1025">
        <f t="shared" si="29"/>
        <v>0</v>
      </c>
      <c r="K58" s="1025">
        <f t="shared" si="29"/>
        <v>0</v>
      </c>
      <c r="L58" s="1026">
        <f t="shared" si="29"/>
        <v>0</v>
      </c>
    </row>
    <row r="59" spans="1:12" ht="15" thickBot="1">
      <c r="A59" s="1027"/>
      <c r="B59" s="2831"/>
      <c r="C59" s="1028" t="s">
        <v>2595</v>
      </c>
      <c r="D59" s="1028"/>
      <c r="E59" s="1028"/>
      <c r="F59" s="1029">
        <f>SUM(G59:L59)</f>
        <v>539492</v>
      </c>
      <c r="G59" s="1030">
        <f t="shared" ref="G59:L59" si="30">+G57-G58</f>
        <v>539492</v>
      </c>
      <c r="H59" s="1030">
        <f t="shared" si="30"/>
        <v>0</v>
      </c>
      <c r="I59" s="1030">
        <f t="shared" si="30"/>
        <v>0</v>
      </c>
      <c r="J59" s="1030">
        <f t="shared" si="30"/>
        <v>0</v>
      </c>
      <c r="K59" s="1030">
        <f t="shared" si="30"/>
        <v>0</v>
      </c>
      <c r="L59" s="1031">
        <f t="shared" si="30"/>
        <v>0</v>
      </c>
    </row>
    <row r="60" spans="1:12" ht="15" thickTop="1">
      <c r="A60" s="1016" t="s">
        <v>2596</v>
      </c>
      <c r="B60" s="1017"/>
      <c r="C60" s="1017"/>
      <c r="D60" s="1017"/>
      <c r="E60" s="1018" t="s">
        <v>2592</v>
      </c>
      <c r="F60" s="1019">
        <f>SUM(G60:L60)</f>
        <v>0</v>
      </c>
      <c r="G60" s="1020">
        <f t="shared" ref="G60:L60" si="31">IF(G56&lt;0,ROUNDUP(G56*$G$2,-3),ROUNDDOWN(G56*$G$2,-3))</f>
        <v>0</v>
      </c>
      <c r="H60" s="1020">
        <f t="shared" si="31"/>
        <v>0</v>
      </c>
      <c r="I60" s="1020">
        <f t="shared" si="31"/>
        <v>0</v>
      </c>
      <c r="J60" s="1020">
        <f t="shared" si="31"/>
        <v>0</v>
      </c>
      <c r="K60" s="1020">
        <f t="shared" si="31"/>
        <v>0</v>
      </c>
      <c r="L60" s="1020">
        <f t="shared" si="31"/>
        <v>0</v>
      </c>
    </row>
    <row r="61" spans="1:12">
      <c r="A61" s="1022"/>
      <c r="B61" s="2830" t="s">
        <v>2593</v>
      </c>
      <c r="C61" s="1023" t="s">
        <v>2756</v>
      </c>
      <c r="D61" s="1023"/>
      <c r="E61" s="1023"/>
      <c r="F61" s="1024">
        <f>SUM(G61:L61)</f>
        <v>0</v>
      </c>
      <c r="G61" s="1025">
        <f t="shared" ref="G61:L61" si="32">IF(G58&lt;0,ROUNDDOWN(G58*$G$2,0),ROUNDUP(G58*$G$2,0))</f>
        <v>0</v>
      </c>
      <c r="H61" s="1025">
        <f t="shared" si="32"/>
        <v>0</v>
      </c>
      <c r="I61" s="1025">
        <f t="shared" si="32"/>
        <v>0</v>
      </c>
      <c r="J61" s="1025">
        <f t="shared" si="32"/>
        <v>0</v>
      </c>
      <c r="K61" s="1025">
        <f t="shared" si="32"/>
        <v>0</v>
      </c>
      <c r="L61" s="1025">
        <f t="shared" si="32"/>
        <v>0</v>
      </c>
    </row>
    <row r="62" spans="1:12">
      <c r="A62" s="1027"/>
      <c r="B62" s="2832"/>
      <c r="C62" s="1028" t="s">
        <v>2595</v>
      </c>
      <c r="D62" s="1028"/>
      <c r="E62" s="1028"/>
      <c r="F62" s="1029">
        <f>SUM(G62:L62)</f>
        <v>0</v>
      </c>
      <c r="G62" s="1030">
        <f t="shared" ref="G62:L62" si="33">+G60-G61</f>
        <v>0</v>
      </c>
      <c r="H62" s="1030">
        <f t="shared" si="33"/>
        <v>0</v>
      </c>
      <c r="I62" s="1030">
        <f t="shared" si="33"/>
        <v>0</v>
      </c>
      <c r="J62" s="1030">
        <f t="shared" si="33"/>
        <v>0</v>
      </c>
      <c r="K62" s="1030">
        <f t="shared" si="33"/>
        <v>0</v>
      </c>
      <c r="L62" s="1031">
        <f t="shared" si="33"/>
        <v>0</v>
      </c>
    </row>
    <row r="63" spans="1:12" s="1287" customFormat="1" ht="13.5" customHeight="1">
      <c r="A63" s="1043"/>
      <c r="B63" s="1043"/>
      <c r="C63" s="1042"/>
      <c r="D63" s="1042"/>
      <c r="E63" s="1457" t="s">
        <v>2513</v>
      </c>
      <c r="F63" s="1458">
        <f>+F1</f>
        <v>0</v>
      </c>
      <c r="G63" s="1459"/>
      <c r="H63" s="1459"/>
      <c r="I63" s="1046"/>
      <c r="J63" s="1046"/>
      <c r="K63" s="844"/>
      <c r="L63" s="1100" t="s">
        <v>2757</v>
      </c>
    </row>
    <row r="64" spans="1:12" s="1287" customFormat="1" ht="13.5" customHeight="1">
      <c r="A64" s="1043"/>
      <c r="B64" s="1043"/>
      <c r="C64" s="1460" t="s">
        <v>2758</v>
      </c>
      <c r="D64" s="808"/>
      <c r="E64" s="1042"/>
      <c r="F64" s="1042"/>
      <c r="G64" s="1100"/>
      <c r="H64" s="1046"/>
      <c r="I64" s="1046"/>
      <c r="J64" s="1046"/>
      <c r="K64" s="1043" t="s">
        <v>2759</v>
      </c>
      <c r="L64" s="1461" t="s">
        <v>2760</v>
      </c>
    </row>
    <row r="65" spans="1:12" s="1287" customFormat="1" ht="13.5" customHeight="1">
      <c r="A65" s="1462"/>
      <c r="B65" s="1463"/>
      <c r="C65" s="879" t="s">
        <v>2522</v>
      </c>
      <c r="D65" s="880"/>
      <c r="E65" s="881"/>
      <c r="F65" s="882" t="s">
        <v>2600</v>
      </c>
      <c r="G65" s="1464">
        <v>3.5</v>
      </c>
      <c r="H65" s="1464"/>
      <c r="I65" s="1464"/>
      <c r="J65" s="1464"/>
      <c r="K65" s="1464"/>
      <c r="L65" s="1465"/>
    </row>
    <row r="66" spans="1:12" s="1287" customFormat="1" ht="13.5" customHeight="1">
      <c r="A66" s="1347"/>
      <c r="B66" s="1466"/>
      <c r="C66" s="1466" t="s">
        <v>2761</v>
      </c>
      <c r="D66" s="1466"/>
      <c r="E66" s="1467" t="s">
        <v>2608</v>
      </c>
      <c r="F66" s="1468" t="s">
        <v>2517</v>
      </c>
      <c r="G66" s="1469" t="str">
        <f t="shared" ref="G66:L66" si="34">+G3</f>
        <v>●●工事</v>
      </c>
      <c r="H66" s="1469">
        <f t="shared" si="34"/>
        <v>0</v>
      </c>
      <c r="I66" s="1469">
        <f t="shared" si="34"/>
        <v>0</v>
      </c>
      <c r="J66" s="1469">
        <f t="shared" si="34"/>
        <v>0</v>
      </c>
      <c r="K66" s="1469">
        <f t="shared" si="34"/>
        <v>0</v>
      </c>
      <c r="L66" s="1470">
        <f t="shared" si="34"/>
        <v>0</v>
      </c>
    </row>
    <row r="67" spans="1:12" s="1287" customFormat="1" ht="13.5" customHeight="1">
      <c r="A67" s="1354"/>
      <c r="B67" s="1471"/>
      <c r="C67" s="1471" t="s">
        <v>2604</v>
      </c>
      <c r="D67" s="1471"/>
      <c r="E67" s="1472" t="s">
        <v>2603</v>
      </c>
      <c r="F67" s="1473" t="s">
        <v>2605</v>
      </c>
      <c r="G67" s="1474"/>
      <c r="H67" s="1474"/>
      <c r="I67" s="1474"/>
      <c r="J67" s="1474"/>
      <c r="K67" s="1474"/>
      <c r="L67" s="1475"/>
    </row>
    <row r="68" spans="1:12" s="1287" customFormat="1" ht="13.5" customHeight="1">
      <c r="A68" s="1347"/>
      <c r="B68" s="1476" t="s">
        <v>2733</v>
      </c>
      <c r="C68" s="1477"/>
      <c r="D68" s="1477"/>
      <c r="E68" s="1478"/>
      <c r="F68" s="1479">
        <f>SUM(G68:L68)</f>
        <v>5000000</v>
      </c>
      <c r="G68" s="1480">
        <v>5000000</v>
      </c>
      <c r="H68" s="1480"/>
      <c r="I68" s="1480"/>
      <c r="J68" s="1480"/>
      <c r="K68" s="1480"/>
      <c r="L68" s="1481"/>
    </row>
    <row r="69" spans="1:12" s="1287" customFormat="1" ht="13.5" customHeight="1">
      <c r="A69" s="1354"/>
      <c r="B69" s="1482" t="s">
        <v>2762</v>
      </c>
      <c r="C69" s="1349"/>
      <c r="D69" s="1349"/>
      <c r="E69" s="1350"/>
      <c r="F69" s="1351">
        <f>SUM(G69:L69)</f>
        <v>1000000</v>
      </c>
      <c r="G69" s="1483">
        <v>1000000</v>
      </c>
      <c r="H69" s="1483"/>
      <c r="I69" s="1483"/>
      <c r="J69" s="1483"/>
      <c r="K69" s="1483"/>
      <c r="L69" s="1484"/>
    </row>
    <row r="70" spans="1:12" s="1287" customFormat="1" ht="13.5" customHeight="1">
      <c r="A70" s="1354"/>
      <c r="B70" s="1482"/>
      <c r="C70" s="1485" t="s">
        <v>2735</v>
      </c>
      <c r="D70" s="1485"/>
      <c r="E70" s="1486"/>
      <c r="F70" s="1487">
        <f>SUM(G70:L70)</f>
        <v>500000</v>
      </c>
      <c r="G70" s="1488">
        <v>500000</v>
      </c>
      <c r="H70" s="1488"/>
      <c r="I70" s="1488"/>
      <c r="J70" s="1488"/>
      <c r="K70" s="1488"/>
      <c r="L70" s="1489"/>
    </row>
    <row r="71" spans="1:12" s="1287" customFormat="1" ht="13.5" customHeight="1">
      <c r="A71" s="1347"/>
      <c r="B71" s="1490" t="s">
        <v>2763</v>
      </c>
      <c r="C71" s="1491"/>
      <c r="D71" s="1491"/>
      <c r="E71" s="1492"/>
      <c r="F71" s="1479">
        <f>SUM(G71:L71)</f>
        <v>5078688</v>
      </c>
      <c r="G71" s="905">
        <f t="shared" ref="G71:L71" si="35">SUM(G113:G126)</f>
        <v>5078688</v>
      </c>
      <c r="H71" s="905">
        <f t="shared" si="35"/>
        <v>0</v>
      </c>
      <c r="I71" s="905">
        <f t="shared" si="35"/>
        <v>0</v>
      </c>
      <c r="J71" s="905">
        <f t="shared" si="35"/>
        <v>0</v>
      </c>
      <c r="K71" s="905">
        <f t="shared" si="35"/>
        <v>0</v>
      </c>
      <c r="L71" s="906">
        <f t="shared" si="35"/>
        <v>0</v>
      </c>
    </row>
    <row r="72" spans="1:12" s="1287" customFormat="1" ht="13.5" customHeight="1">
      <c r="A72" s="1354"/>
      <c r="B72" s="1471"/>
      <c r="C72" s="1493" t="s">
        <v>2764</v>
      </c>
      <c r="D72" s="1494"/>
      <c r="E72" s="1495"/>
      <c r="F72" s="1351">
        <f>SUM(G72:L72)</f>
        <v>4178688</v>
      </c>
      <c r="G72" s="1496">
        <f t="shared" ref="G72:L72" si="36">G71-G75</f>
        <v>4178688</v>
      </c>
      <c r="H72" s="1496">
        <f t="shared" si="36"/>
        <v>0</v>
      </c>
      <c r="I72" s="1496">
        <f t="shared" si="36"/>
        <v>0</v>
      </c>
      <c r="J72" s="1496">
        <f t="shared" si="36"/>
        <v>0</v>
      </c>
      <c r="K72" s="1496">
        <f t="shared" si="36"/>
        <v>0</v>
      </c>
      <c r="L72" s="1497">
        <f t="shared" si="36"/>
        <v>0</v>
      </c>
    </row>
    <row r="73" spans="1:12" s="1287" customFormat="1" ht="13.5" customHeight="1">
      <c r="A73" s="1354"/>
      <c r="B73" s="1471"/>
      <c r="C73" s="1498"/>
      <c r="D73" s="1498"/>
      <c r="E73" s="1499"/>
      <c r="F73" s="1358" t="s">
        <v>2765</v>
      </c>
      <c r="G73" s="1500">
        <f t="shared" ref="G73:L73" si="37">SUM(G115:G126)</f>
        <v>4078688</v>
      </c>
      <c r="H73" s="1500">
        <f t="shared" si="37"/>
        <v>0</v>
      </c>
      <c r="I73" s="1500">
        <f t="shared" si="37"/>
        <v>0</v>
      </c>
      <c r="J73" s="1500">
        <f t="shared" si="37"/>
        <v>0</v>
      </c>
      <c r="K73" s="1500">
        <f t="shared" si="37"/>
        <v>0</v>
      </c>
      <c r="L73" s="1501">
        <f t="shared" si="37"/>
        <v>0</v>
      </c>
    </row>
    <row r="74" spans="1:12" s="1287" customFormat="1" ht="13.5" customHeight="1">
      <c r="A74" s="1354"/>
      <c r="B74" s="1471"/>
      <c r="C74" s="1498"/>
      <c r="D74" s="1498"/>
      <c r="E74" s="1499"/>
      <c r="F74" s="1358" t="s">
        <v>2611</v>
      </c>
      <c r="G74" s="1500">
        <f t="shared" ref="G74:L74" si="38">SUM(G115:G122,G107)</f>
        <v>4078688</v>
      </c>
      <c r="H74" s="1500">
        <f t="shared" si="38"/>
        <v>0</v>
      </c>
      <c r="I74" s="1500">
        <f t="shared" si="38"/>
        <v>0</v>
      </c>
      <c r="J74" s="1500">
        <f t="shared" si="38"/>
        <v>0</v>
      </c>
      <c r="K74" s="1500">
        <f t="shared" si="38"/>
        <v>0</v>
      </c>
      <c r="L74" s="1501">
        <f t="shared" si="38"/>
        <v>0</v>
      </c>
    </row>
    <row r="75" spans="1:12" s="1287" customFormat="1" ht="13.5" customHeight="1">
      <c r="A75" s="1502"/>
      <c r="B75" s="1485"/>
      <c r="C75" s="1503" t="s">
        <v>2766</v>
      </c>
      <c r="D75" s="1503"/>
      <c r="E75" s="1504"/>
      <c r="F75" s="1364">
        <f>SUM(G75:L75)</f>
        <v>900000</v>
      </c>
      <c r="G75" s="1073">
        <f t="shared" ref="G75:L75" si="39">+G115+G102+G104+G107+G106+G70</f>
        <v>900000</v>
      </c>
      <c r="H75" s="1073">
        <f t="shared" si="39"/>
        <v>0</v>
      </c>
      <c r="I75" s="1073">
        <f t="shared" si="39"/>
        <v>0</v>
      </c>
      <c r="J75" s="1073">
        <f t="shared" si="39"/>
        <v>0</v>
      </c>
      <c r="K75" s="1073">
        <f t="shared" si="39"/>
        <v>0</v>
      </c>
      <c r="L75" s="1073">
        <f t="shared" si="39"/>
        <v>0</v>
      </c>
    </row>
    <row r="76" spans="1:12" s="1287" customFormat="1" ht="13.5" customHeight="1">
      <c r="A76" s="1354"/>
      <c r="B76" s="1505" t="s">
        <v>2767</v>
      </c>
      <c r="C76" s="1505"/>
      <c r="D76" s="1505"/>
      <c r="E76" s="1506"/>
      <c r="F76" s="1507">
        <f t="shared" ref="F76:F82" si="40">SUM(G76:L76)</f>
        <v>1394312</v>
      </c>
      <c r="G76" s="1508">
        <f t="shared" ref="G76:L76" si="41">G77+G80</f>
        <v>1394312</v>
      </c>
      <c r="H76" s="1508">
        <f t="shared" si="41"/>
        <v>0</v>
      </c>
      <c r="I76" s="1508">
        <f t="shared" si="41"/>
        <v>0</v>
      </c>
      <c r="J76" s="1508">
        <f t="shared" si="41"/>
        <v>0</v>
      </c>
      <c r="K76" s="1508">
        <f t="shared" si="41"/>
        <v>0</v>
      </c>
      <c r="L76" s="1509">
        <f t="shared" si="41"/>
        <v>0</v>
      </c>
    </row>
    <row r="77" spans="1:12" s="1287" customFormat="1" ht="13.5" customHeight="1">
      <c r="A77" s="1354"/>
      <c r="B77" s="1471"/>
      <c r="C77" s="1510" t="s">
        <v>2615</v>
      </c>
      <c r="D77" s="1510"/>
      <c r="E77" s="1511"/>
      <c r="F77" s="1351">
        <f>SUM(G77:L77)</f>
        <v>686756</v>
      </c>
      <c r="G77" s="1496">
        <f t="shared" ref="G77:L77" si="42">SUM(G78:G79)</f>
        <v>686756</v>
      </c>
      <c r="H77" s="1496">
        <f t="shared" si="42"/>
        <v>0</v>
      </c>
      <c r="I77" s="1496">
        <f t="shared" si="42"/>
        <v>0</v>
      </c>
      <c r="J77" s="1496">
        <f t="shared" si="42"/>
        <v>0</v>
      </c>
      <c r="K77" s="1496">
        <f t="shared" si="42"/>
        <v>0</v>
      </c>
      <c r="L77" s="1497">
        <f t="shared" si="42"/>
        <v>0</v>
      </c>
    </row>
    <row r="78" spans="1:12" s="1287" customFormat="1" ht="13.5" customHeight="1">
      <c r="A78" s="1354"/>
      <c r="B78" s="1471"/>
      <c r="C78" s="1356" t="s">
        <v>2617</v>
      </c>
      <c r="D78" s="1356"/>
      <c r="E78" s="1499"/>
      <c r="F78" s="1358">
        <f t="shared" si="40"/>
        <v>226100</v>
      </c>
      <c r="G78" s="1500">
        <f t="shared" ref="G78:L78" si="43">+G129+G131</f>
        <v>226100</v>
      </c>
      <c r="H78" s="1500">
        <f t="shared" si="43"/>
        <v>0</v>
      </c>
      <c r="I78" s="1500">
        <f t="shared" si="43"/>
        <v>0</v>
      </c>
      <c r="J78" s="1500">
        <f t="shared" si="43"/>
        <v>0</v>
      </c>
      <c r="K78" s="1500">
        <f t="shared" si="43"/>
        <v>0</v>
      </c>
      <c r="L78" s="1500">
        <f t="shared" si="43"/>
        <v>0</v>
      </c>
    </row>
    <row r="79" spans="1:12" s="1287" customFormat="1" ht="13.5" customHeight="1">
      <c r="A79" s="1354"/>
      <c r="B79" s="1471"/>
      <c r="C79" s="1356" t="s">
        <v>2622</v>
      </c>
      <c r="D79" s="1356"/>
      <c r="E79" s="1499"/>
      <c r="F79" s="1358">
        <f t="shared" si="40"/>
        <v>460656</v>
      </c>
      <c r="G79" s="1500">
        <f>SUM(G132:G146)</f>
        <v>460656</v>
      </c>
      <c r="H79" s="1500">
        <f>SUM(H132:H145)</f>
        <v>0</v>
      </c>
      <c r="I79" s="1500">
        <f>SUM(I132:I145)</f>
        <v>0</v>
      </c>
      <c r="J79" s="1500">
        <f>SUM(J132:J145)</f>
        <v>0</v>
      </c>
      <c r="K79" s="1500">
        <f>SUM(K132:K145)</f>
        <v>0</v>
      </c>
      <c r="L79" s="1501">
        <f>SUM(L132:L145)</f>
        <v>0</v>
      </c>
    </row>
    <row r="80" spans="1:12" s="1519" customFormat="1" ht="13.5" customHeight="1">
      <c r="A80" s="1512"/>
      <c r="B80" s="1513"/>
      <c r="C80" s="1514" t="s">
        <v>2620</v>
      </c>
      <c r="D80" s="1514"/>
      <c r="E80" s="1515"/>
      <c r="F80" s="1516">
        <f>SUM(G80:L80)</f>
        <v>707556</v>
      </c>
      <c r="G80" s="1517">
        <f t="shared" ref="G80:L80" si="44">SUM(G81:G83)</f>
        <v>707556</v>
      </c>
      <c r="H80" s="1517">
        <f t="shared" si="44"/>
        <v>0</v>
      </c>
      <c r="I80" s="1517">
        <f t="shared" si="44"/>
        <v>0</v>
      </c>
      <c r="J80" s="1517">
        <f t="shared" si="44"/>
        <v>0</v>
      </c>
      <c r="K80" s="1517">
        <f t="shared" si="44"/>
        <v>0</v>
      </c>
      <c r="L80" s="1518">
        <f t="shared" si="44"/>
        <v>0</v>
      </c>
    </row>
    <row r="81" spans="1:12" s="1519" customFormat="1" ht="13.5" customHeight="1">
      <c r="A81" s="1512"/>
      <c r="B81" s="1513"/>
      <c r="C81" s="1520" t="s">
        <v>2617</v>
      </c>
      <c r="D81" s="1520"/>
      <c r="E81" s="1515"/>
      <c r="F81" s="1516">
        <f t="shared" si="40"/>
        <v>210993</v>
      </c>
      <c r="G81" s="1517">
        <f t="shared" ref="G81:L81" si="45">+G168-G183</f>
        <v>210993</v>
      </c>
      <c r="H81" s="1517">
        <f t="shared" si="45"/>
        <v>0</v>
      </c>
      <c r="I81" s="1517">
        <f t="shared" si="45"/>
        <v>0</v>
      </c>
      <c r="J81" s="1517">
        <f t="shared" si="45"/>
        <v>0</v>
      </c>
      <c r="K81" s="1517">
        <f t="shared" si="45"/>
        <v>0</v>
      </c>
      <c r="L81" s="1518">
        <f t="shared" si="45"/>
        <v>0</v>
      </c>
    </row>
    <row r="82" spans="1:12" s="1519" customFormat="1" ht="13.5" customHeight="1">
      <c r="A82" s="1512"/>
      <c r="B82" s="1513"/>
      <c r="C82" s="1520" t="s">
        <v>2621</v>
      </c>
      <c r="D82" s="1520"/>
      <c r="E82" s="1515"/>
      <c r="F82" s="1516">
        <f t="shared" si="40"/>
        <v>35907</v>
      </c>
      <c r="G82" s="1517">
        <f t="shared" ref="G82:L82" si="46">+G169+G170</f>
        <v>35907</v>
      </c>
      <c r="H82" s="1517">
        <f t="shared" si="46"/>
        <v>0</v>
      </c>
      <c r="I82" s="1517">
        <f t="shared" si="46"/>
        <v>0</v>
      </c>
      <c r="J82" s="1517">
        <f t="shared" si="46"/>
        <v>0</v>
      </c>
      <c r="K82" s="1517">
        <f t="shared" si="46"/>
        <v>0</v>
      </c>
      <c r="L82" s="1518">
        <f t="shared" si="46"/>
        <v>0</v>
      </c>
    </row>
    <row r="83" spans="1:12" s="1519" customFormat="1" ht="13.5" customHeight="1">
      <c r="A83" s="1512"/>
      <c r="B83" s="1521"/>
      <c r="C83" s="1522" t="s">
        <v>2622</v>
      </c>
      <c r="D83" s="1522"/>
      <c r="E83" s="1523"/>
      <c r="F83" s="1524">
        <f>SUM(G83:L83)</f>
        <v>460656</v>
      </c>
      <c r="G83" s="1525">
        <f t="shared" ref="G83:L83" si="47">SUM(G171:G175)</f>
        <v>460656</v>
      </c>
      <c r="H83" s="1525">
        <f t="shared" si="47"/>
        <v>0</v>
      </c>
      <c r="I83" s="1525">
        <f t="shared" si="47"/>
        <v>0</v>
      </c>
      <c r="J83" s="1525">
        <f t="shared" si="47"/>
        <v>0</v>
      </c>
      <c r="K83" s="1525">
        <f t="shared" si="47"/>
        <v>0</v>
      </c>
      <c r="L83" s="1526">
        <f t="shared" si="47"/>
        <v>0</v>
      </c>
    </row>
    <row r="84" spans="1:12" s="1287" customFormat="1" ht="13.5" customHeight="1">
      <c r="A84" s="1527"/>
      <c r="B84" s="1491" t="s">
        <v>2768</v>
      </c>
      <c r="C84" s="1528"/>
      <c r="D84" s="1491"/>
      <c r="E84" s="1529"/>
      <c r="F84" s="1479">
        <f>SUM(G84:L84)</f>
        <v>6473000</v>
      </c>
      <c r="G84" s="1530">
        <f t="shared" ref="G84:L84" si="48">G71+G76</f>
        <v>6473000</v>
      </c>
      <c r="H84" s="1530">
        <f t="shared" si="48"/>
        <v>0</v>
      </c>
      <c r="I84" s="1530">
        <f t="shared" si="48"/>
        <v>0</v>
      </c>
      <c r="J84" s="1530">
        <f t="shared" si="48"/>
        <v>0</v>
      </c>
      <c r="K84" s="1530">
        <f t="shared" si="48"/>
        <v>0</v>
      </c>
      <c r="L84" s="1531">
        <f t="shared" si="48"/>
        <v>0</v>
      </c>
    </row>
    <row r="85" spans="1:12" s="1287" customFormat="1" ht="13.5" customHeight="1">
      <c r="A85" s="1354"/>
      <c r="B85" s="1471"/>
      <c r="C85" s="1532" t="s">
        <v>2625</v>
      </c>
      <c r="D85" s="1532"/>
      <c r="E85" s="1533"/>
      <c r="F85" s="1534"/>
      <c r="G85" s="1535" t="s">
        <v>2626</v>
      </c>
      <c r="H85" s="1536"/>
      <c r="I85" s="1536"/>
      <c r="J85" s="1536"/>
      <c r="K85" s="1536"/>
      <c r="L85" s="1536"/>
    </row>
    <row r="86" spans="1:12" s="1287" customFormat="1" ht="13.5" customHeight="1">
      <c r="A86" s="1347"/>
      <c r="B86" s="1466"/>
      <c r="C86" s="1466"/>
      <c r="D86" s="1466"/>
      <c r="E86" s="1468"/>
      <c r="F86" s="1468" t="s">
        <v>2517</v>
      </c>
      <c r="G86" s="1469" t="str">
        <f t="shared" ref="G86:L86" si="49">+G66</f>
        <v>●●工事</v>
      </c>
      <c r="H86" s="1469">
        <f t="shared" si="49"/>
        <v>0</v>
      </c>
      <c r="I86" s="1469">
        <f t="shared" si="49"/>
        <v>0</v>
      </c>
      <c r="J86" s="1469">
        <f t="shared" si="49"/>
        <v>0</v>
      </c>
      <c r="K86" s="1469">
        <f t="shared" si="49"/>
        <v>0</v>
      </c>
      <c r="L86" s="1470">
        <f t="shared" si="49"/>
        <v>0</v>
      </c>
    </row>
    <row r="87" spans="1:12" s="1287" customFormat="1" ht="13.5" customHeight="1">
      <c r="A87" s="1537" t="s">
        <v>2769</v>
      </c>
      <c r="B87" s="1538"/>
      <c r="C87" s="1539"/>
      <c r="D87" s="1539"/>
      <c r="E87" s="1540"/>
      <c r="F87" s="1541"/>
      <c r="G87" s="1542"/>
      <c r="H87" s="1542"/>
      <c r="I87" s="1542"/>
      <c r="J87" s="1542"/>
      <c r="K87" s="1542"/>
      <c r="L87" s="1543"/>
    </row>
    <row r="88" spans="1:12" s="1287" customFormat="1" ht="13.5" customHeight="1">
      <c r="A88" s="2819"/>
      <c r="B88" s="2799" t="s">
        <v>2740</v>
      </c>
      <c r="C88" s="1544" t="s">
        <v>2542</v>
      </c>
      <c r="D88" s="1494"/>
      <c r="E88" s="1511"/>
      <c r="F88" s="1351">
        <f t="shared" ref="F88:F107" si="50">SUM(G88:L88)</f>
        <v>0</v>
      </c>
      <c r="G88" s="1545"/>
      <c r="H88" s="1545"/>
      <c r="I88" s="1545"/>
      <c r="J88" s="1545"/>
      <c r="K88" s="1545"/>
      <c r="L88" s="1546"/>
    </row>
    <row r="89" spans="1:12" s="1287" customFormat="1" ht="13.5" customHeight="1">
      <c r="A89" s="2820"/>
      <c r="B89" s="2803"/>
      <c r="C89" s="1547" t="s">
        <v>2543</v>
      </c>
      <c r="D89" s="1548"/>
      <c r="E89" s="1499"/>
      <c r="F89" s="1358">
        <f>SUM(G89:L89)</f>
        <v>1000000</v>
      </c>
      <c r="G89" s="912">
        <f t="shared" ref="G89:L89" si="51">IF(G105=0,G68+G69-SUM(G88,G90:G107),0)</f>
        <v>1000000</v>
      </c>
      <c r="H89" s="912">
        <f t="shared" si="51"/>
        <v>0</v>
      </c>
      <c r="I89" s="912">
        <f t="shared" si="51"/>
        <v>0</v>
      </c>
      <c r="J89" s="912">
        <f t="shared" si="51"/>
        <v>0</v>
      </c>
      <c r="K89" s="912">
        <f t="shared" si="51"/>
        <v>0</v>
      </c>
      <c r="L89" s="913">
        <f t="shared" si="51"/>
        <v>0</v>
      </c>
    </row>
    <row r="90" spans="1:12" s="1287" customFormat="1" ht="13.5" customHeight="1">
      <c r="A90" s="2820"/>
      <c r="B90" s="2802" t="s">
        <v>2741</v>
      </c>
      <c r="C90" s="1549" t="s">
        <v>2770</v>
      </c>
      <c r="D90" s="1548"/>
      <c r="E90" s="1499"/>
      <c r="F90" s="1358">
        <f t="shared" si="50"/>
        <v>500000</v>
      </c>
      <c r="G90" s="912">
        <f t="shared" ref="G90:L90" si="52">IF(G106=0,G69-G70,0)</f>
        <v>500000</v>
      </c>
      <c r="H90" s="912">
        <f t="shared" si="52"/>
        <v>0</v>
      </c>
      <c r="I90" s="912">
        <f t="shared" si="52"/>
        <v>0</v>
      </c>
      <c r="J90" s="912">
        <f t="shared" si="52"/>
        <v>0</v>
      </c>
      <c r="K90" s="912">
        <f t="shared" si="52"/>
        <v>0</v>
      </c>
      <c r="L90" s="913">
        <f t="shared" si="52"/>
        <v>0</v>
      </c>
    </row>
    <row r="91" spans="1:12" s="1287" customFormat="1" ht="13.5" customHeight="1">
      <c r="A91" s="2820"/>
      <c r="B91" s="2800"/>
      <c r="C91" s="1547" t="s">
        <v>2771</v>
      </c>
      <c r="D91" s="1548"/>
      <c r="E91" s="1499"/>
      <c r="F91" s="1358">
        <f t="shared" si="50"/>
        <v>500000</v>
      </c>
      <c r="G91" s="1550">
        <v>500000</v>
      </c>
      <c r="H91" s="1550"/>
      <c r="I91" s="1550"/>
      <c r="J91" s="1550"/>
      <c r="K91" s="1550"/>
      <c r="L91" s="1551"/>
    </row>
    <row r="92" spans="1:12" s="1287" customFormat="1" ht="13.5" customHeight="1">
      <c r="A92" s="2820"/>
      <c r="B92" s="2800"/>
      <c r="C92" s="1552" t="s">
        <v>2772</v>
      </c>
      <c r="D92" s="1553"/>
      <c r="E92" s="1499"/>
      <c r="F92" s="1358">
        <f t="shared" si="50"/>
        <v>4000000</v>
      </c>
      <c r="G92" s="1550">
        <v>4000000</v>
      </c>
      <c r="H92" s="1550"/>
      <c r="I92" s="1550"/>
      <c r="J92" s="1550"/>
      <c r="K92" s="1550"/>
      <c r="L92" s="1551"/>
    </row>
    <row r="93" spans="1:12" s="1287" customFormat="1" ht="13.5" customHeight="1">
      <c r="A93" s="2820"/>
      <c r="B93" s="2800"/>
      <c r="C93" s="1547" t="s">
        <v>2773</v>
      </c>
      <c r="D93" s="1548"/>
      <c r="E93" s="1499"/>
      <c r="F93" s="1358">
        <f t="shared" si="50"/>
        <v>0</v>
      </c>
      <c r="G93" s="1550"/>
      <c r="H93" s="1550"/>
      <c r="I93" s="1550"/>
      <c r="J93" s="1550"/>
      <c r="K93" s="1550"/>
      <c r="L93" s="1551"/>
    </row>
    <row r="94" spans="1:12" s="1287" customFormat="1" ht="13.5" customHeight="1">
      <c r="A94" s="2820"/>
      <c r="B94" s="2800"/>
      <c r="C94" s="1547" t="s">
        <v>2774</v>
      </c>
      <c r="D94" s="1548"/>
      <c r="E94" s="1499"/>
      <c r="F94" s="1358">
        <f t="shared" si="50"/>
        <v>0</v>
      </c>
      <c r="G94" s="1550"/>
      <c r="H94" s="1550"/>
      <c r="I94" s="1550"/>
      <c r="J94" s="1550"/>
      <c r="K94" s="1550"/>
      <c r="L94" s="1551"/>
    </row>
    <row r="95" spans="1:12" s="1287" customFormat="1" ht="13.5" customHeight="1">
      <c r="A95" s="2820"/>
      <c r="B95" s="2800"/>
      <c r="C95" s="1554" t="s">
        <v>2775</v>
      </c>
      <c r="D95" s="1548"/>
      <c r="E95" s="1499"/>
      <c r="F95" s="1358">
        <f t="shared" si="50"/>
        <v>0</v>
      </c>
      <c r="G95" s="1550"/>
      <c r="H95" s="1550"/>
      <c r="I95" s="1550"/>
      <c r="J95" s="1550"/>
      <c r="K95" s="1550"/>
      <c r="L95" s="1551"/>
    </row>
    <row r="96" spans="1:12" s="1287" customFormat="1" ht="13.5" customHeight="1">
      <c r="A96" s="2820"/>
      <c r="B96" s="2800"/>
      <c r="C96" s="1548"/>
      <c r="D96" s="1548"/>
      <c r="E96" s="1499"/>
      <c r="F96" s="1358">
        <f t="shared" si="50"/>
        <v>0</v>
      </c>
      <c r="G96" s="912"/>
      <c r="H96" s="912"/>
      <c r="I96" s="912"/>
      <c r="J96" s="912"/>
      <c r="K96" s="912"/>
      <c r="L96" s="913"/>
    </row>
    <row r="97" spans="1:12" s="1287" customFormat="1" ht="13.5" customHeight="1">
      <c r="A97" s="2820"/>
      <c r="B97" s="2803"/>
      <c r="C97" s="1555"/>
      <c r="D97" s="1556"/>
      <c r="E97" s="1557"/>
      <c r="F97" s="1358">
        <f t="shared" si="50"/>
        <v>0</v>
      </c>
      <c r="G97" s="912"/>
      <c r="H97" s="912"/>
      <c r="I97" s="912"/>
      <c r="J97" s="912"/>
      <c r="K97" s="912"/>
      <c r="L97" s="913"/>
    </row>
    <row r="98" spans="1:12" s="1287" customFormat="1" ht="13.5" customHeight="1">
      <c r="A98" s="2820"/>
      <c r="B98" s="2802" t="s">
        <v>477</v>
      </c>
      <c r="C98" s="1548" t="s">
        <v>2776</v>
      </c>
      <c r="D98" s="1548"/>
      <c r="E98" s="1499"/>
      <c r="F98" s="1358">
        <f t="shared" si="50"/>
        <v>0</v>
      </c>
      <c r="G98" s="1550"/>
      <c r="H98" s="1550"/>
      <c r="I98" s="1550"/>
      <c r="J98" s="1550"/>
      <c r="K98" s="1550"/>
      <c r="L98" s="1551"/>
    </row>
    <row r="99" spans="1:12" s="1287" customFormat="1" ht="13.5" customHeight="1">
      <c r="A99" s="2820"/>
      <c r="B99" s="2800"/>
      <c r="C99" s="1558" t="s">
        <v>2777</v>
      </c>
      <c r="D99" s="1548"/>
      <c r="E99" s="1499"/>
      <c r="F99" s="1358">
        <f t="shared" si="50"/>
        <v>0</v>
      </c>
      <c r="G99" s="1550"/>
      <c r="H99" s="1550"/>
      <c r="I99" s="1550"/>
      <c r="J99" s="1550"/>
      <c r="K99" s="1550"/>
      <c r="L99" s="1551"/>
    </row>
    <row r="100" spans="1:12" s="1287" customFormat="1" ht="13.5" customHeight="1">
      <c r="A100" s="2820"/>
      <c r="B100" s="2803"/>
      <c r="C100" s="1558" t="s">
        <v>2778</v>
      </c>
      <c r="D100" s="1548"/>
      <c r="E100" s="1499"/>
      <c r="F100" s="1358">
        <f t="shared" si="50"/>
        <v>0</v>
      </c>
      <c r="G100" s="1550"/>
      <c r="H100" s="1550"/>
      <c r="I100" s="1550"/>
      <c r="J100" s="1550"/>
      <c r="K100" s="1550"/>
      <c r="L100" s="1551"/>
    </row>
    <row r="101" spans="1:12" s="1287" customFormat="1" ht="13.5" customHeight="1">
      <c r="A101" s="2820"/>
      <c r="B101" s="2802" t="s">
        <v>2556</v>
      </c>
      <c r="C101" s="1548" t="s">
        <v>2779</v>
      </c>
      <c r="D101" s="1548"/>
      <c r="E101" s="1499"/>
      <c r="F101" s="1358">
        <f t="shared" si="50"/>
        <v>0</v>
      </c>
      <c r="G101" s="1550"/>
      <c r="H101" s="1550"/>
      <c r="I101" s="1550"/>
      <c r="J101" s="1550"/>
      <c r="K101" s="1550"/>
      <c r="L101" s="1551"/>
    </row>
    <row r="102" spans="1:12" s="1287" customFormat="1" ht="13.5" customHeight="1">
      <c r="A102" s="2820"/>
      <c r="B102" s="2800"/>
      <c r="C102" s="1548"/>
      <c r="D102" s="1548"/>
      <c r="E102" s="1499"/>
      <c r="F102" s="1358">
        <f t="shared" si="50"/>
        <v>0</v>
      </c>
      <c r="G102" s="1550"/>
      <c r="H102" s="1550"/>
      <c r="I102" s="1550"/>
      <c r="J102" s="1550"/>
      <c r="K102" s="1550"/>
      <c r="L102" s="1551"/>
    </row>
    <row r="103" spans="1:12" s="1287" customFormat="1" ht="13.5" customHeight="1">
      <c r="A103" s="2820"/>
      <c r="B103" s="2800"/>
      <c r="C103" s="1548" t="s">
        <v>2780</v>
      </c>
      <c r="D103" s="1548"/>
      <c r="E103" s="1499"/>
      <c r="F103" s="1358">
        <f t="shared" si="50"/>
        <v>0</v>
      </c>
      <c r="G103" s="1550"/>
      <c r="H103" s="1550"/>
      <c r="I103" s="1550"/>
      <c r="J103" s="1550"/>
      <c r="K103" s="1550"/>
      <c r="L103" s="1551"/>
    </row>
    <row r="104" spans="1:12" s="1287" customFormat="1" ht="13.5" customHeight="1">
      <c r="A104" s="2820"/>
      <c r="B104" s="2800"/>
      <c r="C104" s="1548" t="s">
        <v>2781</v>
      </c>
      <c r="D104" s="1548"/>
      <c r="E104" s="1499"/>
      <c r="F104" s="1358">
        <f t="shared" si="50"/>
        <v>0</v>
      </c>
      <c r="G104" s="1550"/>
      <c r="H104" s="1550"/>
      <c r="I104" s="1550"/>
      <c r="J104" s="1550"/>
      <c r="K104" s="1550"/>
      <c r="L104" s="1551"/>
    </row>
    <row r="105" spans="1:12" s="1287" customFormat="1" ht="13.5" customHeight="1">
      <c r="A105" s="2820"/>
      <c r="B105" s="2800"/>
      <c r="C105" s="1559" t="s">
        <v>2782</v>
      </c>
      <c r="D105" s="1559"/>
      <c r="E105" s="1560"/>
      <c r="F105" s="1358">
        <f>SUM(G105:M105)</f>
        <v>0</v>
      </c>
      <c r="G105" s="1399"/>
      <c r="H105" s="1399"/>
      <c r="I105" s="1399"/>
      <c r="J105" s="1399"/>
      <c r="K105" s="1399"/>
      <c r="L105" s="1400"/>
    </row>
    <row r="106" spans="1:12" s="1287" customFormat="1" ht="13.5" customHeight="1">
      <c r="A106" s="2820"/>
      <c r="B106" s="2800"/>
      <c r="C106" s="1559" t="s">
        <v>2783</v>
      </c>
      <c r="D106" s="1559"/>
      <c r="E106" s="1560"/>
      <c r="F106" s="1358">
        <f>SUM(G106:M106)</f>
        <v>0</v>
      </c>
      <c r="G106" s="1399"/>
      <c r="H106" s="1399"/>
      <c r="I106" s="1399"/>
      <c r="J106" s="1399"/>
      <c r="K106" s="1399"/>
      <c r="L106" s="1400"/>
    </row>
    <row r="107" spans="1:12" s="1287" customFormat="1" ht="13.5" customHeight="1">
      <c r="A107" s="2821"/>
      <c r="B107" s="2833"/>
      <c r="C107" s="1561" t="s">
        <v>2784</v>
      </c>
      <c r="D107" s="1562"/>
      <c r="E107" s="1504"/>
      <c r="F107" s="1364">
        <f t="shared" si="50"/>
        <v>0</v>
      </c>
      <c r="G107" s="1563"/>
      <c r="H107" s="1563"/>
      <c r="I107" s="1563"/>
      <c r="J107" s="1563"/>
      <c r="K107" s="1563"/>
      <c r="L107" s="1564"/>
    </row>
    <row r="108" spans="1:12" s="896" customFormat="1" ht="15" customHeight="1">
      <c r="A108" s="1043"/>
      <c r="B108" s="1043"/>
      <c r="C108" s="1565" t="s">
        <v>2654</v>
      </c>
      <c r="D108" s="808"/>
      <c r="E108" s="1042"/>
      <c r="F108" s="1042"/>
      <c r="G108" s="1046"/>
      <c r="H108" s="1046"/>
      <c r="I108" s="1046"/>
      <c r="J108" s="1046"/>
      <c r="K108" s="1046"/>
      <c r="L108" s="1100" t="s">
        <v>2785</v>
      </c>
    </row>
    <row r="109" spans="1:12" s="896" customFormat="1" ht="15" customHeight="1">
      <c r="A109" s="1043"/>
      <c r="B109" s="1043"/>
      <c r="C109" s="1566" t="s">
        <v>2786</v>
      </c>
      <c r="D109" s="1566"/>
      <c r="E109" s="1042"/>
      <c r="F109" s="1042"/>
      <c r="G109" s="1046"/>
      <c r="H109" s="1046"/>
      <c r="I109" s="1046"/>
      <c r="J109" s="1046"/>
      <c r="K109" s="1046"/>
      <c r="L109" s="1100"/>
    </row>
    <row r="110" spans="1:12" s="896" customFormat="1" ht="15" customHeight="1">
      <c r="A110" s="1567"/>
      <c r="B110" s="1568"/>
      <c r="C110" s="1568"/>
      <c r="D110" s="2815"/>
      <c r="E110" s="2815" t="s">
        <v>2668</v>
      </c>
      <c r="F110" s="1092" t="s">
        <v>2517</v>
      </c>
      <c r="G110" s="1093" t="str">
        <f t="shared" ref="G110:L110" si="53">+G66</f>
        <v>●●工事</v>
      </c>
      <c r="H110" s="1093">
        <f t="shared" si="53"/>
        <v>0</v>
      </c>
      <c r="I110" s="1093">
        <f t="shared" si="53"/>
        <v>0</v>
      </c>
      <c r="J110" s="1093">
        <f t="shared" si="53"/>
        <v>0</v>
      </c>
      <c r="K110" s="1093">
        <f t="shared" si="53"/>
        <v>0</v>
      </c>
      <c r="L110" s="1315">
        <f t="shared" si="53"/>
        <v>0</v>
      </c>
    </row>
    <row r="111" spans="1:12" s="896" customFormat="1" ht="15" customHeight="1">
      <c r="A111" s="2817" t="s">
        <v>2657</v>
      </c>
      <c r="B111" s="2818"/>
      <c r="C111" s="2818"/>
      <c r="D111" s="2816"/>
      <c r="E111" s="2816"/>
      <c r="F111" s="1101"/>
      <c r="G111" s="1102"/>
      <c r="H111" s="1102"/>
      <c r="I111" s="1102"/>
      <c r="J111" s="1102"/>
      <c r="K111" s="1102"/>
      <c r="L111" s="1569"/>
    </row>
    <row r="112" spans="1:12" s="896" customFormat="1" ht="14.25" customHeight="1">
      <c r="A112" s="1570"/>
      <c r="B112" s="1571" t="s">
        <v>2787</v>
      </c>
      <c r="C112" s="1572"/>
      <c r="D112" s="1093"/>
      <c r="E112" s="1573"/>
      <c r="F112" s="1108">
        <f>SUM(G112:L112)</f>
        <v>1000000</v>
      </c>
      <c r="G112" s="1109">
        <f t="shared" ref="G112:L112" si="54">SUM(G88:G89,G98:G104)</f>
        <v>1000000</v>
      </c>
      <c r="H112" s="1109">
        <f t="shared" si="54"/>
        <v>0</v>
      </c>
      <c r="I112" s="1109">
        <f t="shared" si="54"/>
        <v>0</v>
      </c>
      <c r="J112" s="1109">
        <f t="shared" si="54"/>
        <v>0</v>
      </c>
      <c r="K112" s="1109">
        <f t="shared" si="54"/>
        <v>0</v>
      </c>
      <c r="L112" s="1574">
        <f t="shared" si="54"/>
        <v>0</v>
      </c>
    </row>
    <row r="113" spans="1:12" s="896" customFormat="1" ht="15" customHeight="1">
      <c r="A113" s="1575"/>
      <c r="B113" s="2799" t="s">
        <v>2788</v>
      </c>
      <c r="C113" s="1494" t="s">
        <v>2542</v>
      </c>
      <c r="D113" s="1093"/>
      <c r="E113" s="1576" t="s">
        <v>2789</v>
      </c>
      <c r="F113" s="1108">
        <f>SUM(G113:L113)</f>
        <v>0</v>
      </c>
      <c r="G113" s="1577">
        <f>+G88</f>
        <v>0</v>
      </c>
      <c r="H113" s="1077">
        <f t="shared" ref="H113:L114" si="55">+H88</f>
        <v>0</v>
      </c>
      <c r="I113" s="1077">
        <f t="shared" si="55"/>
        <v>0</v>
      </c>
      <c r="J113" s="1077">
        <f t="shared" si="55"/>
        <v>0</v>
      </c>
      <c r="K113" s="1077">
        <f t="shared" si="55"/>
        <v>0</v>
      </c>
      <c r="L113" s="1078">
        <f t="shared" si="55"/>
        <v>0</v>
      </c>
    </row>
    <row r="114" spans="1:12" s="896" customFormat="1" ht="15" customHeight="1">
      <c r="A114" s="1578"/>
      <c r="B114" s="2803"/>
      <c r="C114" s="1548" t="s">
        <v>2543</v>
      </c>
      <c r="D114" s="1579"/>
      <c r="E114" s="1580" t="s">
        <v>2789</v>
      </c>
      <c r="F114" s="911">
        <f>SUM(G114:L114)</f>
        <v>1000000</v>
      </c>
      <c r="G114" s="1581">
        <f>+G89</f>
        <v>1000000</v>
      </c>
      <c r="H114" s="912">
        <f t="shared" si="55"/>
        <v>0</v>
      </c>
      <c r="I114" s="912">
        <f t="shared" si="55"/>
        <v>0</v>
      </c>
      <c r="J114" s="912">
        <f t="shared" si="55"/>
        <v>0</v>
      </c>
      <c r="K114" s="912">
        <f t="shared" si="55"/>
        <v>0</v>
      </c>
      <c r="L114" s="913">
        <f t="shared" si="55"/>
        <v>0</v>
      </c>
    </row>
    <row r="115" spans="1:12" s="896" customFormat="1" ht="15" customHeight="1">
      <c r="A115" s="1578"/>
      <c r="B115" s="2802" t="s">
        <v>2741</v>
      </c>
      <c r="C115" s="1548" t="s">
        <v>2790</v>
      </c>
      <c r="D115" s="1579"/>
      <c r="E115" s="1557">
        <v>0.25</v>
      </c>
      <c r="F115" s="912">
        <f t="shared" ref="F115:F120" si="56">INT(F90/(1+$E115))</f>
        <v>400000</v>
      </c>
      <c r="G115" s="1581">
        <f t="shared" ref="G115:G120" si="57">F115-SUM(H115:L115)</f>
        <v>400000</v>
      </c>
      <c r="H115" s="912">
        <f t="shared" ref="H115:L120" si="58">IF(H90=0,0,ROUND($F115/$F90*H90,0))</f>
        <v>0</v>
      </c>
      <c r="I115" s="912">
        <f t="shared" si="58"/>
        <v>0</v>
      </c>
      <c r="J115" s="912">
        <f t="shared" si="58"/>
        <v>0</v>
      </c>
      <c r="K115" s="912">
        <f t="shared" si="58"/>
        <v>0</v>
      </c>
      <c r="L115" s="913">
        <f t="shared" si="58"/>
        <v>0</v>
      </c>
    </row>
    <row r="116" spans="1:12" s="896" customFormat="1" ht="15" customHeight="1">
      <c r="A116" s="1578"/>
      <c r="B116" s="2800"/>
      <c r="C116" s="1548" t="s">
        <v>2791</v>
      </c>
      <c r="D116" s="1579"/>
      <c r="E116" s="1557">
        <v>0.25</v>
      </c>
      <c r="F116" s="912">
        <f t="shared" si="56"/>
        <v>400000</v>
      </c>
      <c r="G116" s="1581">
        <f t="shared" si="57"/>
        <v>400000</v>
      </c>
      <c r="H116" s="912">
        <f t="shared" si="58"/>
        <v>0</v>
      </c>
      <c r="I116" s="912">
        <f t="shared" si="58"/>
        <v>0</v>
      </c>
      <c r="J116" s="912">
        <f t="shared" si="58"/>
        <v>0</v>
      </c>
      <c r="K116" s="912">
        <f t="shared" si="58"/>
        <v>0</v>
      </c>
      <c r="L116" s="913">
        <f t="shared" si="58"/>
        <v>0</v>
      </c>
    </row>
    <row r="117" spans="1:12" s="896" customFormat="1" ht="15" customHeight="1">
      <c r="A117" s="1578"/>
      <c r="B117" s="2800"/>
      <c r="C117" s="1582" t="str">
        <f>+C92</f>
        <v>(5)塗装工事（下請経費共）</v>
      </c>
      <c r="D117" s="1579"/>
      <c r="E117" s="1583">
        <v>0.22</v>
      </c>
      <c r="F117" s="912">
        <f>INT(F92/(1+$E117))</f>
        <v>3278688</v>
      </c>
      <c r="G117" s="1581">
        <f t="shared" si="57"/>
        <v>3278688</v>
      </c>
      <c r="H117" s="912">
        <f t="shared" si="58"/>
        <v>0</v>
      </c>
      <c r="I117" s="912">
        <f t="shared" si="58"/>
        <v>0</v>
      </c>
      <c r="J117" s="912">
        <f t="shared" si="58"/>
        <v>0</v>
      </c>
      <c r="K117" s="912">
        <f t="shared" si="58"/>
        <v>0</v>
      </c>
      <c r="L117" s="913">
        <f t="shared" si="58"/>
        <v>0</v>
      </c>
    </row>
    <row r="118" spans="1:12" s="896" customFormat="1" ht="15" customHeight="1">
      <c r="A118" s="1578"/>
      <c r="B118" s="2800"/>
      <c r="C118" s="1548" t="s">
        <v>2792</v>
      </c>
      <c r="D118" s="1579"/>
      <c r="E118" s="1557">
        <v>0.25</v>
      </c>
      <c r="F118" s="912">
        <f t="shared" si="56"/>
        <v>0</v>
      </c>
      <c r="G118" s="1581">
        <f t="shared" si="57"/>
        <v>0</v>
      </c>
      <c r="H118" s="912">
        <f t="shared" si="58"/>
        <v>0</v>
      </c>
      <c r="I118" s="912">
        <f t="shared" si="58"/>
        <v>0</v>
      </c>
      <c r="J118" s="912">
        <f t="shared" si="58"/>
        <v>0</v>
      </c>
      <c r="K118" s="912">
        <f t="shared" si="58"/>
        <v>0</v>
      </c>
      <c r="L118" s="913">
        <f t="shared" si="58"/>
        <v>0</v>
      </c>
    </row>
    <row r="119" spans="1:12" s="896" customFormat="1" ht="15" customHeight="1">
      <c r="A119" s="1578"/>
      <c r="B119" s="2800"/>
      <c r="C119" s="1548" t="s">
        <v>2793</v>
      </c>
      <c r="D119" s="1579"/>
      <c r="E119" s="1557">
        <v>0.25</v>
      </c>
      <c r="F119" s="912">
        <f t="shared" si="56"/>
        <v>0</v>
      </c>
      <c r="G119" s="1581">
        <f t="shared" si="57"/>
        <v>0</v>
      </c>
      <c r="H119" s="912">
        <f t="shared" si="58"/>
        <v>0</v>
      </c>
      <c r="I119" s="912">
        <f t="shared" si="58"/>
        <v>0</v>
      </c>
      <c r="J119" s="912">
        <f t="shared" si="58"/>
        <v>0</v>
      </c>
      <c r="K119" s="912">
        <f t="shared" si="58"/>
        <v>0</v>
      </c>
      <c r="L119" s="913">
        <f t="shared" si="58"/>
        <v>0</v>
      </c>
    </row>
    <row r="120" spans="1:12" s="896" customFormat="1" ht="15" customHeight="1">
      <c r="A120" s="1578"/>
      <c r="B120" s="2800"/>
      <c r="C120" s="1548" t="s">
        <v>2794</v>
      </c>
      <c r="D120" s="1579"/>
      <c r="E120" s="1557">
        <v>0.25</v>
      </c>
      <c r="F120" s="912">
        <f t="shared" si="56"/>
        <v>0</v>
      </c>
      <c r="G120" s="1581">
        <f t="shared" si="57"/>
        <v>0</v>
      </c>
      <c r="H120" s="912">
        <f t="shared" si="58"/>
        <v>0</v>
      </c>
      <c r="I120" s="912">
        <f t="shared" si="58"/>
        <v>0</v>
      </c>
      <c r="J120" s="912">
        <f t="shared" si="58"/>
        <v>0</v>
      </c>
      <c r="K120" s="912">
        <f t="shared" si="58"/>
        <v>0</v>
      </c>
      <c r="L120" s="913">
        <f t="shared" si="58"/>
        <v>0</v>
      </c>
    </row>
    <row r="121" spans="1:12" s="896" customFormat="1" ht="15" customHeight="1">
      <c r="A121" s="1578"/>
      <c r="B121" s="2800"/>
      <c r="C121" s="1548"/>
      <c r="D121" s="1579"/>
      <c r="E121" s="1557"/>
      <c r="F121" s="911"/>
      <c r="G121" s="1581"/>
      <c r="H121" s="912"/>
      <c r="I121" s="912"/>
      <c r="J121" s="912"/>
      <c r="K121" s="912"/>
      <c r="L121" s="913"/>
    </row>
    <row r="122" spans="1:12" s="896" customFormat="1" ht="15" customHeight="1">
      <c r="A122" s="1578"/>
      <c r="B122" s="2803"/>
      <c r="C122" s="1548"/>
      <c r="D122" s="1579"/>
      <c r="E122" s="1557"/>
      <c r="F122" s="911"/>
      <c r="G122" s="1581"/>
      <c r="H122" s="912"/>
      <c r="I122" s="912"/>
      <c r="J122" s="912"/>
      <c r="K122" s="912"/>
      <c r="L122" s="913"/>
    </row>
    <row r="123" spans="1:12" s="896" customFormat="1" ht="15" customHeight="1">
      <c r="A123" s="1578"/>
      <c r="B123" s="2802" t="s">
        <v>477</v>
      </c>
      <c r="C123" s="1548" t="s">
        <v>2795</v>
      </c>
      <c r="D123" s="1579"/>
      <c r="E123" s="1557">
        <v>0.02</v>
      </c>
      <c r="F123" s="911">
        <f>SUM(G123:L123)</f>
        <v>0</v>
      </c>
      <c r="G123" s="1581">
        <f t="shared" ref="G123:L125" si="59">+G98</f>
        <v>0</v>
      </c>
      <c r="H123" s="912">
        <f t="shared" si="59"/>
        <v>0</v>
      </c>
      <c r="I123" s="912">
        <f t="shared" si="59"/>
        <v>0</v>
      </c>
      <c r="J123" s="912">
        <f t="shared" si="59"/>
        <v>0</v>
      </c>
      <c r="K123" s="912">
        <f t="shared" si="59"/>
        <v>0</v>
      </c>
      <c r="L123" s="913">
        <f t="shared" si="59"/>
        <v>0</v>
      </c>
    </row>
    <row r="124" spans="1:12" s="896" customFormat="1" ht="15" customHeight="1">
      <c r="A124" s="1578"/>
      <c r="B124" s="2800"/>
      <c r="C124" s="1558" t="s">
        <v>2796</v>
      </c>
      <c r="D124" s="1579"/>
      <c r="E124" s="1557">
        <v>0.02</v>
      </c>
      <c r="F124" s="911">
        <f>SUM(G124:L124)</f>
        <v>0</v>
      </c>
      <c r="G124" s="1581">
        <f t="shared" si="59"/>
        <v>0</v>
      </c>
      <c r="H124" s="912">
        <f t="shared" si="59"/>
        <v>0</v>
      </c>
      <c r="I124" s="912">
        <f t="shared" si="59"/>
        <v>0</v>
      </c>
      <c r="J124" s="912">
        <f t="shared" si="59"/>
        <v>0</v>
      </c>
      <c r="K124" s="912">
        <f t="shared" si="59"/>
        <v>0</v>
      </c>
      <c r="L124" s="913">
        <f t="shared" si="59"/>
        <v>0</v>
      </c>
    </row>
    <row r="125" spans="1:12" s="896" customFormat="1" ht="15" customHeight="1">
      <c r="A125" s="1578"/>
      <c r="B125" s="2803"/>
      <c r="C125" s="1558" t="s">
        <v>2797</v>
      </c>
      <c r="D125" s="1579"/>
      <c r="E125" s="1557">
        <v>0.02</v>
      </c>
      <c r="F125" s="911">
        <f>SUM(G125:L125)</f>
        <v>0</v>
      </c>
      <c r="G125" s="1581">
        <f t="shared" si="59"/>
        <v>0</v>
      </c>
      <c r="H125" s="912">
        <f t="shared" si="59"/>
        <v>0</v>
      </c>
      <c r="I125" s="912">
        <f t="shared" si="59"/>
        <v>0</v>
      </c>
      <c r="J125" s="912">
        <f t="shared" si="59"/>
        <v>0</v>
      </c>
      <c r="K125" s="912">
        <f t="shared" si="59"/>
        <v>0</v>
      </c>
      <c r="L125" s="913">
        <f t="shared" si="59"/>
        <v>0</v>
      </c>
    </row>
    <row r="126" spans="1:12" s="896" customFormat="1" ht="15" customHeight="1">
      <c r="A126" s="1578"/>
      <c r="B126" s="1584" t="s">
        <v>2644</v>
      </c>
      <c r="C126" s="1585" t="s">
        <v>2798</v>
      </c>
      <c r="D126" s="1579"/>
      <c r="E126" s="1557">
        <v>0</v>
      </c>
      <c r="F126" s="911">
        <f>SUM(G126:L126)</f>
        <v>0</v>
      </c>
      <c r="G126" s="1586">
        <f t="shared" ref="G126:L126" si="60">SUM(G101:G107)</f>
        <v>0</v>
      </c>
      <c r="H126" s="1073">
        <f t="shared" si="60"/>
        <v>0</v>
      </c>
      <c r="I126" s="1073">
        <f t="shared" si="60"/>
        <v>0</v>
      </c>
      <c r="J126" s="1073">
        <f t="shared" si="60"/>
        <v>0</v>
      </c>
      <c r="K126" s="1073">
        <f t="shared" si="60"/>
        <v>0</v>
      </c>
      <c r="L126" s="1074">
        <f t="shared" si="60"/>
        <v>0</v>
      </c>
    </row>
    <row r="127" spans="1:12" s="896" customFormat="1" ht="15" customHeight="1">
      <c r="A127" s="1587" t="s">
        <v>2564</v>
      </c>
      <c r="B127" s="1588"/>
      <c r="C127" s="1588"/>
      <c r="D127" s="1589"/>
      <c r="E127" s="1590" t="s">
        <v>2799</v>
      </c>
      <c r="F127" s="1591"/>
      <c r="G127" s="1592"/>
      <c r="H127" s="1592"/>
      <c r="I127" s="1592"/>
      <c r="J127" s="1592"/>
      <c r="K127" s="1592"/>
      <c r="L127" s="1593"/>
    </row>
    <row r="128" spans="1:12" s="896" customFormat="1" ht="15" customHeight="1">
      <c r="A128" s="1575"/>
      <c r="B128" s="2799" t="s">
        <v>2788</v>
      </c>
      <c r="C128" s="1123" t="s">
        <v>2542</v>
      </c>
      <c r="D128" s="1124"/>
      <c r="E128" s="1125" t="s">
        <v>2800</v>
      </c>
      <c r="F128" s="1126" t="s">
        <v>2801</v>
      </c>
      <c r="G128" s="1127">
        <f t="shared" ref="G128:L128" si="61">IF(G113=0,0,+G193/100)</f>
        <v>0</v>
      </c>
      <c r="H128" s="1127">
        <f t="shared" si="61"/>
        <v>0</v>
      </c>
      <c r="I128" s="1127">
        <f t="shared" si="61"/>
        <v>0</v>
      </c>
      <c r="J128" s="1127">
        <f t="shared" si="61"/>
        <v>0</v>
      </c>
      <c r="K128" s="1127">
        <f t="shared" si="61"/>
        <v>0</v>
      </c>
      <c r="L128" s="1128">
        <f t="shared" si="61"/>
        <v>0</v>
      </c>
    </row>
    <row r="129" spans="1:12" s="896" customFormat="1" ht="15" customHeight="1">
      <c r="A129" s="1578"/>
      <c r="B129" s="2800"/>
      <c r="C129" s="1129"/>
      <c r="D129" s="1594">
        <v>1</v>
      </c>
      <c r="E129" s="1131" t="s">
        <v>2802</v>
      </c>
      <c r="F129" s="1064">
        <f>SUM(G129:N129)</f>
        <v>0</v>
      </c>
      <c r="G129" s="1080">
        <f t="shared" ref="G129:L129" si="62">ROUNDDOWN(G113*G128*$D129,0)</f>
        <v>0</v>
      </c>
      <c r="H129" s="1080">
        <f t="shared" si="62"/>
        <v>0</v>
      </c>
      <c r="I129" s="1080">
        <f t="shared" si="62"/>
        <v>0</v>
      </c>
      <c r="J129" s="1080">
        <f t="shared" si="62"/>
        <v>0</v>
      </c>
      <c r="K129" s="1080">
        <f t="shared" si="62"/>
        <v>0</v>
      </c>
      <c r="L129" s="1081">
        <f t="shared" si="62"/>
        <v>0</v>
      </c>
    </row>
    <row r="130" spans="1:12" s="896" customFormat="1" ht="15" customHeight="1">
      <c r="A130" s="1578"/>
      <c r="B130" s="2800"/>
      <c r="C130" s="1132" t="s">
        <v>2543</v>
      </c>
      <c r="D130" s="1133"/>
      <c r="E130" s="1131" t="s">
        <v>2802</v>
      </c>
      <c r="F130" s="1134" t="s">
        <v>2801</v>
      </c>
      <c r="G130" s="1155">
        <f t="shared" ref="G130:L130" si="63">IF(G114=0,0,+G201/100)</f>
        <v>0.2261</v>
      </c>
      <c r="H130" s="1155">
        <f t="shared" si="63"/>
        <v>0</v>
      </c>
      <c r="I130" s="1155">
        <f t="shared" si="63"/>
        <v>0</v>
      </c>
      <c r="J130" s="1155">
        <f t="shared" si="63"/>
        <v>0</v>
      </c>
      <c r="K130" s="1155">
        <f t="shared" si="63"/>
        <v>0</v>
      </c>
      <c r="L130" s="1595">
        <f t="shared" si="63"/>
        <v>0</v>
      </c>
    </row>
    <row r="131" spans="1:12" s="896" customFormat="1" ht="15" customHeight="1">
      <c r="A131" s="1578"/>
      <c r="B131" s="2801"/>
      <c r="C131" s="1129"/>
      <c r="D131" s="1596">
        <v>1</v>
      </c>
      <c r="E131" s="1131" t="s">
        <v>2802</v>
      </c>
      <c r="F131" s="1064">
        <f>SUM(G131:N131)</f>
        <v>226100</v>
      </c>
      <c r="G131" s="1080">
        <f t="shared" ref="G131:L131" si="64">ROUNDDOWN(G114*G130*$D131,0)</f>
        <v>226100</v>
      </c>
      <c r="H131" s="1080">
        <f t="shared" si="64"/>
        <v>0</v>
      </c>
      <c r="I131" s="1080">
        <f t="shared" si="64"/>
        <v>0</v>
      </c>
      <c r="J131" s="1080">
        <f t="shared" si="64"/>
        <v>0</v>
      </c>
      <c r="K131" s="1080">
        <f t="shared" si="64"/>
        <v>0</v>
      </c>
      <c r="L131" s="1081">
        <f t="shared" si="64"/>
        <v>0</v>
      </c>
    </row>
    <row r="132" spans="1:12" s="896" customFormat="1" ht="15" customHeight="1">
      <c r="A132" s="1578"/>
      <c r="B132" s="2802" t="s">
        <v>2741</v>
      </c>
      <c r="C132" s="1548" t="str">
        <f>+C115</f>
        <v>(3)共通仮設工事</v>
      </c>
      <c r="D132" s="1597"/>
      <c r="E132" s="1557">
        <f t="shared" ref="E132:E137" si="65">+E115</f>
        <v>0.25</v>
      </c>
      <c r="F132" s="911">
        <f t="shared" ref="F132:F137" si="66">INT((F90-F115)*0.5)</f>
        <v>50000</v>
      </c>
      <c r="G132" s="912">
        <f t="shared" ref="G132:G137" si="67">F132-SUM(H132:L132)</f>
        <v>50000</v>
      </c>
      <c r="H132" s="912">
        <f t="shared" ref="H132:L137" si="68">IF(H115=0,0,ROUND($F132/$F115*H115,0))</f>
        <v>0</v>
      </c>
      <c r="I132" s="912">
        <f t="shared" si="68"/>
        <v>0</v>
      </c>
      <c r="J132" s="912">
        <f t="shared" si="68"/>
        <v>0</v>
      </c>
      <c r="K132" s="912">
        <f t="shared" si="68"/>
        <v>0</v>
      </c>
      <c r="L132" s="913">
        <f t="shared" si="68"/>
        <v>0</v>
      </c>
    </row>
    <row r="133" spans="1:12" s="896" customFormat="1" ht="15" customHeight="1">
      <c r="A133" s="1578"/>
      <c r="B133" s="2800"/>
      <c r="C133" s="1548" t="str">
        <f>+C116</f>
        <v>(4)直接仮設工事</v>
      </c>
      <c r="D133" s="1597"/>
      <c r="E133" s="1557">
        <f t="shared" si="65"/>
        <v>0.25</v>
      </c>
      <c r="F133" s="911">
        <f t="shared" si="66"/>
        <v>50000</v>
      </c>
      <c r="G133" s="912">
        <f t="shared" si="67"/>
        <v>50000</v>
      </c>
      <c r="H133" s="912">
        <f t="shared" si="68"/>
        <v>0</v>
      </c>
      <c r="I133" s="912">
        <f t="shared" si="68"/>
        <v>0</v>
      </c>
      <c r="J133" s="912">
        <f t="shared" si="68"/>
        <v>0</v>
      </c>
      <c r="K133" s="912">
        <f t="shared" si="68"/>
        <v>0</v>
      </c>
      <c r="L133" s="913">
        <f t="shared" si="68"/>
        <v>0</v>
      </c>
    </row>
    <row r="134" spans="1:12" s="896" customFormat="1" ht="15" customHeight="1">
      <c r="A134" s="1578"/>
      <c r="B134" s="2800"/>
      <c r="C134" s="1582" t="str">
        <f>C117</f>
        <v>(5)塗装工事（下請経費共）</v>
      </c>
      <c r="D134" s="1597"/>
      <c r="E134" s="1598">
        <f t="shared" si="65"/>
        <v>0.22</v>
      </c>
      <c r="F134" s="911">
        <f t="shared" si="66"/>
        <v>360656</v>
      </c>
      <c r="G134" s="912">
        <f>F134-SUM(H134:L134)</f>
        <v>360656</v>
      </c>
      <c r="H134" s="912">
        <f>IF(H117=0,0,ROUND($F134/$F117*H117,0))</f>
        <v>0</v>
      </c>
      <c r="I134" s="912">
        <f t="shared" si="68"/>
        <v>0</v>
      </c>
      <c r="J134" s="912">
        <f t="shared" si="68"/>
        <v>0</v>
      </c>
      <c r="K134" s="912">
        <f t="shared" si="68"/>
        <v>0</v>
      </c>
      <c r="L134" s="913">
        <f t="shared" si="68"/>
        <v>0</v>
      </c>
    </row>
    <row r="135" spans="1:12" s="896" customFormat="1" ht="15" customHeight="1">
      <c r="A135" s="1578"/>
      <c r="B135" s="2800"/>
      <c r="C135" s="1548" t="str">
        <f>+C118</f>
        <v>(6)場内小運搬費</v>
      </c>
      <c r="D135" s="1597"/>
      <c r="E135" s="1557">
        <f t="shared" si="65"/>
        <v>0.25</v>
      </c>
      <c r="F135" s="911">
        <f t="shared" si="66"/>
        <v>0</v>
      </c>
      <c r="G135" s="912">
        <f t="shared" si="67"/>
        <v>0</v>
      </c>
      <c r="H135" s="912">
        <f t="shared" si="68"/>
        <v>0</v>
      </c>
      <c r="I135" s="912">
        <f t="shared" si="68"/>
        <v>0</v>
      </c>
      <c r="J135" s="912">
        <f t="shared" si="68"/>
        <v>0</v>
      </c>
      <c r="K135" s="912">
        <f t="shared" si="68"/>
        <v>0</v>
      </c>
      <c r="L135" s="913">
        <f t="shared" si="68"/>
        <v>0</v>
      </c>
    </row>
    <row r="136" spans="1:12" s="896" customFormat="1" ht="15" customHeight="1">
      <c r="A136" s="1578"/>
      <c r="B136" s="2800"/>
      <c r="C136" s="1548" t="str">
        <f>+C119</f>
        <v>(7)〃人力積込み費</v>
      </c>
      <c r="D136" s="1597"/>
      <c r="E136" s="1557">
        <f t="shared" si="65"/>
        <v>0.25</v>
      </c>
      <c r="F136" s="911">
        <f t="shared" si="66"/>
        <v>0</v>
      </c>
      <c r="G136" s="912">
        <f t="shared" si="67"/>
        <v>0</v>
      </c>
      <c r="H136" s="912">
        <f t="shared" si="68"/>
        <v>0</v>
      </c>
      <c r="I136" s="912">
        <f t="shared" si="68"/>
        <v>0</v>
      </c>
      <c r="J136" s="912">
        <f t="shared" si="68"/>
        <v>0</v>
      </c>
      <c r="K136" s="912">
        <f t="shared" si="68"/>
        <v>0</v>
      </c>
      <c r="L136" s="913">
        <f t="shared" si="68"/>
        <v>0</v>
      </c>
    </row>
    <row r="137" spans="1:12" s="896" customFormat="1" ht="15" customHeight="1">
      <c r="A137" s="1578"/>
      <c r="B137" s="2800"/>
      <c r="C137" s="1548" t="str">
        <f>+C120</f>
        <v>(8)〃搬出準備費</v>
      </c>
      <c r="D137" s="1597"/>
      <c r="E137" s="1557">
        <f t="shared" si="65"/>
        <v>0.25</v>
      </c>
      <c r="F137" s="911">
        <f t="shared" si="66"/>
        <v>0</v>
      </c>
      <c r="G137" s="912">
        <f t="shared" si="67"/>
        <v>0</v>
      </c>
      <c r="H137" s="912">
        <f t="shared" si="68"/>
        <v>0</v>
      </c>
      <c r="I137" s="912">
        <f t="shared" si="68"/>
        <v>0</v>
      </c>
      <c r="J137" s="912">
        <f t="shared" si="68"/>
        <v>0</v>
      </c>
      <c r="K137" s="912">
        <f t="shared" si="68"/>
        <v>0</v>
      </c>
      <c r="L137" s="913">
        <f t="shared" si="68"/>
        <v>0</v>
      </c>
    </row>
    <row r="138" spans="1:12" s="896" customFormat="1" ht="15" customHeight="1">
      <c r="A138" s="1578"/>
      <c r="B138" s="2800"/>
      <c r="C138" s="1548"/>
      <c r="D138" s="1597"/>
      <c r="E138" s="1599"/>
      <c r="F138" s="911"/>
      <c r="G138" s="912"/>
      <c r="H138" s="912"/>
      <c r="I138" s="912"/>
      <c r="J138" s="912"/>
      <c r="K138" s="912"/>
      <c r="L138" s="913"/>
    </row>
    <row r="139" spans="1:12" s="896" customFormat="1" ht="15" customHeight="1">
      <c r="A139" s="1578"/>
      <c r="B139" s="2803"/>
      <c r="C139" s="1548"/>
      <c r="D139" s="1597"/>
      <c r="E139" s="1557"/>
      <c r="F139" s="911"/>
      <c r="G139" s="912"/>
      <c r="H139" s="912"/>
      <c r="I139" s="912"/>
      <c r="J139" s="912"/>
      <c r="K139" s="912"/>
      <c r="L139" s="913"/>
    </row>
    <row r="140" spans="1:12" s="896" customFormat="1" ht="15" customHeight="1">
      <c r="A140" s="1578"/>
      <c r="B140" s="2802" t="s">
        <v>477</v>
      </c>
      <c r="C140" s="1548" t="s">
        <v>2803</v>
      </c>
      <c r="D140" s="1597"/>
      <c r="E140" s="1557">
        <f>+E123</f>
        <v>0.02</v>
      </c>
      <c r="F140" s="911">
        <f>INT(F123*E140)</f>
        <v>0</v>
      </c>
      <c r="G140" s="912">
        <f>F140-SUM(H140:L140)</f>
        <v>0</v>
      </c>
      <c r="H140" s="912">
        <f t="shared" ref="H140:L142" si="69">IF(H123=0,0,ROUND($F140/$F123*H123,0))</f>
        <v>0</v>
      </c>
      <c r="I140" s="912">
        <f t="shared" si="69"/>
        <v>0</v>
      </c>
      <c r="J140" s="912">
        <f t="shared" si="69"/>
        <v>0</v>
      </c>
      <c r="K140" s="912">
        <f t="shared" si="69"/>
        <v>0</v>
      </c>
      <c r="L140" s="913">
        <f t="shared" si="69"/>
        <v>0</v>
      </c>
    </row>
    <row r="141" spans="1:12" s="896" customFormat="1" ht="15" customHeight="1">
      <c r="A141" s="1578"/>
      <c r="B141" s="2800"/>
      <c r="C141" s="1558" t="s">
        <v>2796</v>
      </c>
      <c r="D141" s="1597"/>
      <c r="E141" s="1557">
        <f>+E124</f>
        <v>0.02</v>
      </c>
      <c r="F141" s="911">
        <f>INT(F124*E141)</f>
        <v>0</v>
      </c>
      <c r="G141" s="912">
        <f>F141-SUM(H141:L141)</f>
        <v>0</v>
      </c>
      <c r="H141" s="912">
        <f t="shared" si="69"/>
        <v>0</v>
      </c>
      <c r="I141" s="912">
        <f t="shared" si="69"/>
        <v>0</v>
      </c>
      <c r="J141" s="912">
        <f t="shared" si="69"/>
        <v>0</v>
      </c>
      <c r="K141" s="912">
        <f t="shared" si="69"/>
        <v>0</v>
      </c>
      <c r="L141" s="913">
        <f t="shared" si="69"/>
        <v>0</v>
      </c>
    </row>
    <row r="142" spans="1:12" s="896" customFormat="1" ht="15" customHeight="1">
      <c r="A142" s="1578"/>
      <c r="B142" s="2803"/>
      <c r="C142" s="1558" t="s">
        <v>2804</v>
      </c>
      <c r="D142" s="1597"/>
      <c r="E142" s="1557">
        <f>+E125</f>
        <v>0.02</v>
      </c>
      <c r="F142" s="911">
        <f>INT(F125*E142)</f>
        <v>0</v>
      </c>
      <c r="G142" s="912">
        <f>F142-SUM(H142:L142)</f>
        <v>0</v>
      </c>
      <c r="H142" s="912">
        <f t="shared" si="69"/>
        <v>0</v>
      </c>
      <c r="I142" s="912">
        <f t="shared" si="69"/>
        <v>0</v>
      </c>
      <c r="J142" s="912">
        <f t="shared" si="69"/>
        <v>0</v>
      </c>
      <c r="K142" s="912">
        <f t="shared" si="69"/>
        <v>0</v>
      </c>
      <c r="L142" s="913">
        <f t="shared" si="69"/>
        <v>0</v>
      </c>
    </row>
    <row r="143" spans="1:12" s="896" customFormat="1" ht="14.25" customHeight="1">
      <c r="A143" s="1578"/>
      <c r="B143" s="1600" t="s">
        <v>2573</v>
      </c>
      <c r="C143" s="1601" t="s">
        <v>2805</v>
      </c>
      <c r="D143" s="1602"/>
      <c r="E143" s="1557"/>
      <c r="F143" s="911">
        <f>SUM(G143:M143)</f>
        <v>0</v>
      </c>
      <c r="G143" s="1399"/>
      <c r="H143" s="1399"/>
      <c r="I143" s="1399"/>
      <c r="J143" s="1399"/>
      <c r="K143" s="1399"/>
      <c r="L143" s="1400"/>
    </row>
    <row r="144" spans="1:12" s="896" customFormat="1" ht="14.25" customHeight="1">
      <c r="A144" s="1578"/>
      <c r="B144" s="1603" t="s">
        <v>2575</v>
      </c>
      <c r="C144" s="1604" t="s">
        <v>2806</v>
      </c>
      <c r="D144" s="1602"/>
      <c r="E144" s="1557"/>
      <c r="F144" s="911"/>
      <c r="G144" s="912"/>
      <c r="H144" s="912"/>
      <c r="I144" s="912"/>
      <c r="J144" s="912"/>
      <c r="K144" s="912"/>
      <c r="L144" s="913"/>
    </row>
    <row r="145" spans="1:12" s="896" customFormat="1" ht="15" customHeight="1">
      <c r="A145" s="1578"/>
      <c r="B145" s="1605" t="s">
        <v>2644</v>
      </c>
      <c r="C145" s="1606" t="s">
        <v>2807</v>
      </c>
      <c r="D145" s="1607"/>
      <c r="E145" s="1608">
        <f>+E126</f>
        <v>0</v>
      </c>
      <c r="F145" s="911">
        <f>INT(F126*E145)</f>
        <v>0</v>
      </c>
      <c r="G145" s="912">
        <f>F145-SUM(H145:L145)</f>
        <v>0</v>
      </c>
      <c r="H145" s="912">
        <f>IF(H126=0,0,ROUND($F145/$F126*H126,0))</f>
        <v>0</v>
      </c>
      <c r="I145" s="912">
        <f>IF(I126=0,0,ROUND($F145/$F126*I126,0))</f>
        <v>0</v>
      </c>
      <c r="J145" s="912">
        <f>IF(J126=0,0,ROUND($F145/$F126*J126,0))</f>
        <v>0</v>
      </c>
      <c r="K145" s="912">
        <f>IF(K126=0,0,ROUND($F145/$F126*K126,0))</f>
        <v>0</v>
      </c>
      <c r="L145" s="913">
        <f>IF(L126=0,0,ROUND($F145/$F126*L126,0))</f>
        <v>0</v>
      </c>
    </row>
    <row r="146" spans="1:12" s="896" customFormat="1" ht="15" customHeight="1" thickBot="1">
      <c r="A146" s="1609"/>
      <c r="B146" s="1610"/>
      <c r="C146" s="1611"/>
      <c r="D146" s="1612"/>
      <c r="E146" s="1608"/>
      <c r="F146" s="1144"/>
      <c r="G146" s="912"/>
      <c r="H146" s="1228"/>
      <c r="I146" s="1228"/>
      <c r="J146" s="1228"/>
      <c r="K146" s="1228"/>
      <c r="L146" s="1229"/>
    </row>
    <row r="147" spans="1:12" s="896" customFormat="1" ht="15" customHeight="1" thickTop="1">
      <c r="A147" s="1613"/>
      <c r="B147" s="1614"/>
      <c r="C147" s="1615" t="s">
        <v>2664</v>
      </c>
      <c r="D147" s="1616"/>
      <c r="E147" s="1617"/>
      <c r="F147" s="1169">
        <f>SUM(F128:F146)</f>
        <v>686756</v>
      </c>
      <c r="G147" s="1169">
        <f t="shared" ref="G147:L147" si="70">SUM(G131:G146)+G129</f>
        <v>686756</v>
      </c>
      <c r="H147" s="1169">
        <f t="shared" si="70"/>
        <v>0</v>
      </c>
      <c r="I147" s="1169">
        <f t="shared" si="70"/>
        <v>0</v>
      </c>
      <c r="J147" s="1169">
        <f t="shared" si="70"/>
        <v>0</v>
      </c>
      <c r="K147" s="1169">
        <f t="shared" si="70"/>
        <v>0</v>
      </c>
      <c r="L147" s="1170">
        <f t="shared" si="70"/>
        <v>0</v>
      </c>
    </row>
    <row r="148" spans="1:12" s="896" customFormat="1" ht="15" customHeight="1">
      <c r="A148" s="1618"/>
      <c r="B148" s="1619"/>
      <c r="C148" s="1620" t="s">
        <v>2665</v>
      </c>
      <c r="D148" s="1621"/>
      <c r="E148" s="1622"/>
      <c r="F148" s="946">
        <f>SUM(G148:L148)</f>
        <v>5765444</v>
      </c>
      <c r="G148" s="1073">
        <f t="shared" ref="G148:L148" si="71">+G71+G147</f>
        <v>5765444</v>
      </c>
      <c r="H148" s="1073">
        <f t="shared" si="71"/>
        <v>0</v>
      </c>
      <c r="I148" s="1073">
        <f t="shared" si="71"/>
        <v>0</v>
      </c>
      <c r="J148" s="1073">
        <f t="shared" si="71"/>
        <v>0</v>
      </c>
      <c r="K148" s="1073">
        <f t="shared" si="71"/>
        <v>0</v>
      </c>
      <c r="L148" s="1074">
        <f t="shared" si="71"/>
        <v>0</v>
      </c>
    </row>
    <row r="149" spans="1:12" s="896" customFormat="1" ht="15" customHeight="1">
      <c r="A149" s="1043"/>
      <c r="B149" s="1043"/>
      <c r="C149" s="1565" t="s">
        <v>2666</v>
      </c>
      <c r="D149" s="808"/>
      <c r="E149" s="1042"/>
      <c r="F149" s="1042"/>
      <c r="G149" s="1100"/>
      <c r="H149" s="1046"/>
      <c r="I149" s="1046"/>
      <c r="J149" s="1046"/>
      <c r="K149" s="1046"/>
      <c r="L149" s="1100" t="s">
        <v>2808</v>
      </c>
    </row>
    <row r="150" spans="1:12" s="896" customFormat="1" ht="15" customHeight="1">
      <c r="A150" s="1043"/>
      <c r="B150" s="1043"/>
      <c r="C150" s="1043"/>
      <c r="D150" s="1043"/>
      <c r="E150" s="1043"/>
      <c r="F150" s="1043"/>
      <c r="G150" s="1046"/>
      <c r="H150" s="1046"/>
      <c r="I150" s="1046"/>
      <c r="J150" s="1046"/>
      <c r="K150" s="1046"/>
      <c r="L150" s="1046"/>
    </row>
    <row r="151" spans="1:12" s="896" customFormat="1" ht="15" customHeight="1">
      <c r="A151" s="2804"/>
      <c r="B151" s="2805"/>
      <c r="C151" s="2805"/>
      <c r="D151" s="1623"/>
      <c r="E151" s="1092" t="s">
        <v>2668</v>
      </c>
      <c r="F151" s="1092" t="s">
        <v>2517</v>
      </c>
      <c r="G151" s="1093" t="str">
        <f t="shared" ref="G151:L151" si="72">+G66</f>
        <v>●●工事</v>
      </c>
      <c r="H151" s="1093">
        <f t="shared" si="72"/>
        <v>0</v>
      </c>
      <c r="I151" s="1093">
        <f t="shared" si="72"/>
        <v>0</v>
      </c>
      <c r="J151" s="1093">
        <f t="shared" si="72"/>
        <v>0</v>
      </c>
      <c r="K151" s="1093">
        <f t="shared" si="72"/>
        <v>0</v>
      </c>
      <c r="L151" s="1094">
        <f t="shared" si="72"/>
        <v>0</v>
      </c>
    </row>
    <row r="152" spans="1:12" s="896" customFormat="1" ht="15" customHeight="1">
      <c r="A152" s="2806"/>
      <c r="B152" s="2807"/>
      <c r="C152" s="2807"/>
      <c r="D152" s="1176"/>
      <c r="E152" s="933"/>
      <c r="F152" s="1624"/>
      <c r="G152" s="1178"/>
      <c r="H152" s="1178"/>
      <c r="I152" s="1178"/>
      <c r="J152" s="1178"/>
      <c r="K152" s="1178"/>
      <c r="L152" s="1179"/>
    </row>
    <row r="153" spans="1:12" s="896" customFormat="1" ht="15" customHeight="1">
      <c r="A153" s="1625"/>
      <c r="B153" s="1626"/>
      <c r="C153" s="1627" t="s">
        <v>2809</v>
      </c>
      <c r="D153" s="1628"/>
      <c r="E153" s="1629"/>
      <c r="F153" s="907">
        <f t="shared" ref="F153:L153" si="73">+F148</f>
        <v>5765444</v>
      </c>
      <c r="G153" s="907">
        <f>+G148</f>
        <v>5765444</v>
      </c>
      <c r="H153" s="907">
        <f>+H148</f>
        <v>0</v>
      </c>
      <c r="I153" s="907">
        <f t="shared" si="73"/>
        <v>0</v>
      </c>
      <c r="J153" s="907">
        <f t="shared" si="73"/>
        <v>0</v>
      </c>
      <c r="K153" s="907">
        <f t="shared" si="73"/>
        <v>0</v>
      </c>
      <c r="L153" s="1187">
        <f t="shared" si="73"/>
        <v>0</v>
      </c>
    </row>
    <row r="154" spans="1:12" s="896" customFormat="1" ht="15" customHeight="1">
      <c r="A154" s="1630"/>
      <c r="B154" s="1631"/>
      <c r="C154" s="1632"/>
      <c r="D154" s="1633"/>
      <c r="E154" s="1634" t="s">
        <v>2810</v>
      </c>
      <c r="F154" s="911">
        <f>SUM(G154:L154)</f>
        <v>1226100</v>
      </c>
      <c r="G154" s="912">
        <f t="shared" ref="G154:L154" si="74">G112+SUM(G140:G145)+G105+G106+G131</f>
        <v>1226100</v>
      </c>
      <c r="H154" s="912">
        <f t="shared" si="74"/>
        <v>0</v>
      </c>
      <c r="I154" s="912">
        <f t="shared" si="74"/>
        <v>0</v>
      </c>
      <c r="J154" s="912">
        <f t="shared" si="74"/>
        <v>0</v>
      </c>
      <c r="K154" s="912">
        <f t="shared" si="74"/>
        <v>0</v>
      </c>
      <c r="L154" s="913">
        <f t="shared" si="74"/>
        <v>0</v>
      </c>
    </row>
    <row r="155" spans="1:12" s="896" customFormat="1" ht="15" customHeight="1">
      <c r="A155" s="1618"/>
      <c r="B155" s="1619"/>
      <c r="C155" s="1635"/>
      <c r="D155" s="1621"/>
      <c r="E155" s="1636"/>
      <c r="F155" s="946"/>
      <c r="G155" s="1073"/>
      <c r="H155" s="1073"/>
      <c r="I155" s="1073"/>
      <c r="J155" s="1073"/>
      <c r="K155" s="1073"/>
      <c r="L155" s="1074"/>
    </row>
    <row r="156" spans="1:12" s="896" customFormat="1" ht="15" customHeight="1">
      <c r="A156" s="1567"/>
      <c r="B156" s="1568"/>
      <c r="C156" s="1568"/>
      <c r="D156" s="1637"/>
      <c r="E156" s="1629" t="str">
        <f>E66</f>
        <v>無し</v>
      </c>
      <c r="F156" s="2812" t="s">
        <v>2672</v>
      </c>
      <c r="G156" s="2812"/>
      <c r="H156" s="1077"/>
      <c r="I156" s="1077"/>
      <c r="J156" s="1077"/>
      <c r="K156" s="1077"/>
      <c r="L156" s="1078"/>
    </row>
    <row r="157" spans="1:12" s="896" customFormat="1" ht="15" customHeight="1">
      <c r="A157" s="2810" t="s">
        <v>2673</v>
      </c>
      <c r="B157" s="2810"/>
      <c r="C157" s="2813"/>
      <c r="D157" s="1638"/>
      <c r="E157" s="1636" t="str">
        <f>+E67</f>
        <v>有り</v>
      </c>
      <c r="F157" s="2814" t="s">
        <v>2674</v>
      </c>
      <c r="G157" s="2814"/>
      <c r="H157" s="1073"/>
      <c r="I157" s="1073"/>
      <c r="J157" s="1073"/>
      <c r="K157" s="1073"/>
      <c r="L157" s="1074"/>
    </row>
    <row r="158" spans="1:12" s="896" customFormat="1" ht="15" customHeight="1">
      <c r="A158" s="2808"/>
      <c r="B158" s="1639" t="s">
        <v>161</v>
      </c>
      <c r="C158" s="1640" t="s">
        <v>2811</v>
      </c>
      <c r="D158" s="1641"/>
      <c r="E158" s="1642">
        <f>G207/100</f>
        <v>0.1724</v>
      </c>
      <c r="F158" s="907">
        <f>SUM(G158:L158)</f>
        <v>1226100</v>
      </c>
      <c r="G158" s="1077">
        <f t="shared" ref="G158:L158" si="75">+G153-SUM(G162:G163)</f>
        <v>1226100</v>
      </c>
      <c r="H158" s="1077">
        <f t="shared" si="75"/>
        <v>0</v>
      </c>
      <c r="I158" s="1077">
        <f t="shared" si="75"/>
        <v>0</v>
      </c>
      <c r="J158" s="1077">
        <f t="shared" si="75"/>
        <v>0</v>
      </c>
      <c r="K158" s="1077">
        <f t="shared" si="75"/>
        <v>0</v>
      </c>
      <c r="L158" s="1078">
        <f t="shared" si="75"/>
        <v>0</v>
      </c>
    </row>
    <row r="159" spans="1:12" s="896" customFormat="1" ht="15" customHeight="1">
      <c r="A159" s="2809"/>
      <c r="B159" s="2797" t="s">
        <v>2676</v>
      </c>
      <c r="C159" s="1643" t="s">
        <v>2677</v>
      </c>
      <c r="D159" s="1602"/>
      <c r="E159" s="1644">
        <f>IF(E156="無し",0.05,0)</f>
        <v>0.05</v>
      </c>
      <c r="F159" s="911">
        <f>SUM(G159:L159)</f>
        <v>672035</v>
      </c>
      <c r="G159" s="912">
        <f t="shared" ref="G159:L159" si="76">+G168+SUM(G172:G175)</f>
        <v>672035</v>
      </c>
      <c r="H159" s="912">
        <f>+H168+SUM(H172:H175)</f>
        <v>0</v>
      </c>
      <c r="I159" s="912">
        <f t="shared" si="76"/>
        <v>0</v>
      </c>
      <c r="J159" s="912">
        <f t="shared" si="76"/>
        <v>0</v>
      </c>
      <c r="K159" s="912">
        <f t="shared" si="76"/>
        <v>0</v>
      </c>
      <c r="L159" s="913">
        <f t="shared" si="76"/>
        <v>0</v>
      </c>
    </row>
    <row r="160" spans="1:12" s="896" customFormat="1" ht="15" customHeight="1">
      <c r="A160" s="2809"/>
      <c r="B160" s="2797"/>
      <c r="C160" s="1643" t="s">
        <v>2678</v>
      </c>
      <c r="D160" s="1645"/>
      <c r="E160" s="1557">
        <f>IF(E157="無し",0,0.0004)</f>
        <v>4.0000000000000002E-4</v>
      </c>
      <c r="F160" s="911">
        <f>SUM(G160:L160)</f>
        <v>5765444</v>
      </c>
      <c r="G160" s="912">
        <f t="shared" ref="G160:L160" si="77">+G153</f>
        <v>5765444</v>
      </c>
      <c r="H160" s="912">
        <f>+H153</f>
        <v>0</v>
      </c>
      <c r="I160" s="912">
        <f t="shared" si="77"/>
        <v>0</v>
      </c>
      <c r="J160" s="912">
        <f t="shared" si="77"/>
        <v>0</v>
      </c>
      <c r="K160" s="912">
        <f t="shared" si="77"/>
        <v>0</v>
      </c>
      <c r="L160" s="913">
        <f t="shared" si="77"/>
        <v>0</v>
      </c>
    </row>
    <row r="161" spans="1:12" s="896" customFormat="1" ht="15" customHeight="1">
      <c r="A161" s="2809"/>
      <c r="B161" s="2795" t="s">
        <v>2812</v>
      </c>
      <c r="C161" s="1643"/>
      <c r="D161" s="1646"/>
      <c r="E161" s="1646"/>
      <c r="F161" s="911"/>
      <c r="G161" s="912"/>
      <c r="H161" s="912"/>
      <c r="I161" s="912"/>
      <c r="J161" s="912"/>
      <c r="K161" s="912"/>
      <c r="L161" s="913"/>
    </row>
    <row r="162" spans="1:12" s="896" customFormat="1" ht="15" customHeight="1">
      <c r="A162" s="2809"/>
      <c r="B162" s="2796"/>
      <c r="C162" s="1647" t="s">
        <v>2813</v>
      </c>
      <c r="D162" s="1646"/>
      <c r="E162" s="1646"/>
      <c r="F162" s="911">
        <f>SUM(G162:L162)</f>
        <v>4539344</v>
      </c>
      <c r="G162" s="912">
        <f t="shared" ref="G162:L162" si="78">+SUM(G115:G122,G132:G139)</f>
        <v>4539344</v>
      </c>
      <c r="H162" s="912">
        <f t="shared" si="78"/>
        <v>0</v>
      </c>
      <c r="I162" s="912">
        <f t="shared" si="78"/>
        <v>0</v>
      </c>
      <c r="J162" s="912">
        <f t="shared" si="78"/>
        <v>0</v>
      </c>
      <c r="K162" s="912">
        <f t="shared" si="78"/>
        <v>0</v>
      </c>
      <c r="L162" s="913">
        <f t="shared" si="78"/>
        <v>0</v>
      </c>
    </row>
    <row r="163" spans="1:12" s="896" customFormat="1" ht="15" customHeight="1">
      <c r="A163" s="2809"/>
      <c r="B163" s="2797" t="s">
        <v>2679</v>
      </c>
      <c r="C163" s="1204" t="s">
        <v>2814</v>
      </c>
      <c r="D163" s="1648"/>
      <c r="E163" s="1599">
        <v>0</v>
      </c>
      <c r="F163" s="911">
        <f>SUM(G163:L163)</f>
        <v>0</v>
      </c>
      <c r="G163" s="912">
        <f t="shared" ref="G163:L163" si="79">+G107</f>
        <v>0</v>
      </c>
      <c r="H163" s="912">
        <f t="shared" si="79"/>
        <v>0</v>
      </c>
      <c r="I163" s="912">
        <f t="shared" si="79"/>
        <v>0</v>
      </c>
      <c r="J163" s="912">
        <f t="shared" si="79"/>
        <v>0</v>
      </c>
      <c r="K163" s="912">
        <f t="shared" si="79"/>
        <v>0</v>
      </c>
      <c r="L163" s="913">
        <f t="shared" si="79"/>
        <v>0</v>
      </c>
    </row>
    <row r="164" spans="1:12" s="896" customFormat="1" ht="15" customHeight="1">
      <c r="A164" s="2809"/>
      <c r="B164" s="2797"/>
      <c r="C164" s="1633"/>
      <c r="D164" s="1649"/>
      <c r="E164" s="1599"/>
      <c r="F164" s="911"/>
      <c r="G164" s="912"/>
      <c r="H164" s="912"/>
      <c r="I164" s="912"/>
      <c r="J164" s="912"/>
      <c r="K164" s="912"/>
      <c r="L164" s="913"/>
    </row>
    <row r="165" spans="1:12" s="896" customFormat="1" ht="15" customHeight="1">
      <c r="A165" s="2809"/>
      <c r="B165" s="2795"/>
      <c r="C165" s="1650"/>
      <c r="D165" s="1651"/>
      <c r="E165" s="1652"/>
      <c r="F165" s="946"/>
      <c r="G165" s="1073"/>
      <c r="H165" s="1073"/>
      <c r="I165" s="1073"/>
      <c r="J165" s="1073"/>
      <c r="K165" s="1073"/>
      <c r="L165" s="1074"/>
    </row>
    <row r="166" spans="1:12" s="896" customFormat="1" ht="15" customHeight="1">
      <c r="A166" s="1567"/>
      <c r="B166" s="1568"/>
      <c r="C166" s="1653"/>
      <c r="D166" s="1654"/>
      <c r="E166" s="1655"/>
      <c r="F166" s="907"/>
      <c r="G166" s="1077"/>
      <c r="H166" s="1077"/>
      <c r="I166" s="1077"/>
      <c r="J166" s="1077"/>
      <c r="K166" s="1077"/>
      <c r="L166" s="1078"/>
    </row>
    <row r="167" spans="1:12" s="896" customFormat="1" ht="15" customHeight="1">
      <c r="A167" s="2810" t="s">
        <v>2680</v>
      </c>
      <c r="B167" s="2810"/>
      <c r="C167" s="2811"/>
      <c r="D167" s="1656"/>
      <c r="E167" s="1657"/>
      <c r="F167" s="946"/>
      <c r="G167" s="1073"/>
      <c r="H167" s="1073"/>
      <c r="I167" s="1073"/>
      <c r="J167" s="1073"/>
      <c r="K167" s="1073"/>
      <c r="L167" s="1074"/>
    </row>
    <row r="168" spans="1:12" s="896" customFormat="1" ht="15" customHeight="1">
      <c r="A168" s="1658"/>
      <c r="B168" s="1057" t="s">
        <v>161</v>
      </c>
      <c r="C168" s="1659" t="s">
        <v>2815</v>
      </c>
      <c r="D168" s="1641"/>
      <c r="E168" s="1660">
        <f>+E158</f>
        <v>0.1724</v>
      </c>
      <c r="F168" s="907">
        <f>INT(F158*E168)</f>
        <v>211379</v>
      </c>
      <c r="G168" s="1077">
        <f>F168-SUM(H168:L168)</f>
        <v>211379</v>
      </c>
      <c r="H168" s="1077">
        <f t="shared" ref="H168:L170" si="80">IF(H158=0,0,ROUND($F168/$F158*H158,0))</f>
        <v>0</v>
      </c>
      <c r="I168" s="1077">
        <f t="shared" si="80"/>
        <v>0</v>
      </c>
      <c r="J168" s="1077">
        <f t="shared" si="80"/>
        <v>0</v>
      </c>
      <c r="K168" s="1077">
        <f t="shared" si="80"/>
        <v>0</v>
      </c>
      <c r="L168" s="1078">
        <f t="shared" si="80"/>
        <v>0</v>
      </c>
    </row>
    <row r="169" spans="1:12" s="896" customFormat="1" ht="15" customHeight="1">
      <c r="A169" s="1658"/>
      <c r="B169" s="2797" t="s">
        <v>2676</v>
      </c>
      <c r="C169" s="1643" t="s">
        <v>2677</v>
      </c>
      <c r="D169" s="1648"/>
      <c r="E169" s="1557">
        <f>+E159</f>
        <v>0.05</v>
      </c>
      <c r="F169" s="911">
        <f>INT(F159*E169)</f>
        <v>33601</v>
      </c>
      <c r="G169" s="912">
        <f>F169-SUM(H169:L169)</f>
        <v>33601</v>
      </c>
      <c r="H169" s="912">
        <f t="shared" si="80"/>
        <v>0</v>
      </c>
      <c r="I169" s="912">
        <f t="shared" si="80"/>
        <v>0</v>
      </c>
      <c r="J169" s="912">
        <f t="shared" si="80"/>
        <v>0</v>
      </c>
      <c r="K169" s="912">
        <f t="shared" si="80"/>
        <v>0</v>
      </c>
      <c r="L169" s="913">
        <f t="shared" si="80"/>
        <v>0</v>
      </c>
    </row>
    <row r="170" spans="1:12" s="896" customFormat="1" ht="15" customHeight="1">
      <c r="A170" s="1658"/>
      <c r="B170" s="2797"/>
      <c r="C170" s="1643" t="s">
        <v>2678</v>
      </c>
      <c r="D170" s="1648"/>
      <c r="E170" s="1557">
        <f>+E160</f>
        <v>4.0000000000000002E-4</v>
      </c>
      <c r="F170" s="911">
        <f>INT(F160*E170)</f>
        <v>2306</v>
      </c>
      <c r="G170" s="912">
        <f>F170-SUM(H170:L170)</f>
        <v>2306</v>
      </c>
      <c r="H170" s="912">
        <f t="shared" si="80"/>
        <v>0</v>
      </c>
      <c r="I170" s="912">
        <f t="shared" si="80"/>
        <v>0</v>
      </c>
      <c r="J170" s="912">
        <f t="shared" si="80"/>
        <v>0</v>
      </c>
      <c r="K170" s="912">
        <f t="shared" si="80"/>
        <v>0</v>
      </c>
      <c r="L170" s="913">
        <f t="shared" si="80"/>
        <v>0</v>
      </c>
    </row>
    <row r="171" spans="1:12" s="896" customFormat="1" ht="15" customHeight="1">
      <c r="A171" s="1658"/>
      <c r="B171" s="2795" t="s">
        <v>2812</v>
      </c>
      <c r="C171" s="1643"/>
      <c r="D171" s="1646"/>
      <c r="E171" s="1661" t="s">
        <v>2816</v>
      </c>
      <c r="F171" s="911"/>
      <c r="G171" s="912"/>
      <c r="H171" s="912"/>
      <c r="I171" s="912"/>
      <c r="J171" s="912"/>
      <c r="K171" s="912"/>
      <c r="L171" s="913"/>
    </row>
    <row r="172" spans="1:12" s="896" customFormat="1" ht="15" customHeight="1">
      <c r="A172" s="1658"/>
      <c r="B172" s="2796"/>
      <c r="C172" s="1647" t="s">
        <v>2813</v>
      </c>
      <c r="D172" s="1646"/>
      <c r="E172" s="1646"/>
      <c r="F172" s="911">
        <f>SUM(G172:L172)</f>
        <v>460656</v>
      </c>
      <c r="G172" s="912">
        <f t="shared" ref="G172:L172" si="81">SUM(G90:G97)-SUM(G115:G122)-SUM(G132:G139)</f>
        <v>460656</v>
      </c>
      <c r="H172" s="912">
        <f t="shared" si="81"/>
        <v>0</v>
      </c>
      <c r="I172" s="912">
        <f t="shared" si="81"/>
        <v>0</v>
      </c>
      <c r="J172" s="912">
        <f t="shared" si="81"/>
        <v>0</v>
      </c>
      <c r="K172" s="912">
        <f t="shared" si="81"/>
        <v>0</v>
      </c>
      <c r="L172" s="913">
        <f t="shared" si="81"/>
        <v>0</v>
      </c>
    </row>
    <row r="173" spans="1:12" s="896" customFormat="1" ht="15" customHeight="1">
      <c r="A173" s="1658"/>
      <c r="B173" s="2797" t="s">
        <v>2679</v>
      </c>
      <c r="C173" s="1204" t="s">
        <v>2814</v>
      </c>
      <c r="D173" s="1648"/>
      <c r="E173" s="1557">
        <f>+E163</f>
        <v>0</v>
      </c>
      <c r="F173" s="911">
        <f>SUM(G173:L173)</f>
        <v>0</v>
      </c>
      <c r="G173" s="912">
        <f t="shared" ref="G173:L173" si="82">ROUNDDOWN($E173*$D173*G163,0)</f>
        <v>0</v>
      </c>
      <c r="H173" s="912">
        <f t="shared" si="82"/>
        <v>0</v>
      </c>
      <c r="I173" s="912">
        <f t="shared" si="82"/>
        <v>0</v>
      </c>
      <c r="J173" s="912">
        <f t="shared" si="82"/>
        <v>0</v>
      </c>
      <c r="K173" s="912">
        <f t="shared" si="82"/>
        <v>0</v>
      </c>
      <c r="L173" s="913">
        <f t="shared" si="82"/>
        <v>0</v>
      </c>
    </row>
    <row r="174" spans="1:12" s="896" customFormat="1" ht="15" customHeight="1">
      <c r="A174" s="1658"/>
      <c r="B174" s="2797"/>
      <c r="C174" s="1633"/>
      <c r="D174" s="1649"/>
      <c r="E174" s="1646">
        <f>+G165</f>
        <v>0</v>
      </c>
      <c r="F174" s="911"/>
      <c r="G174" s="912"/>
      <c r="H174" s="912"/>
      <c r="I174" s="912"/>
      <c r="J174" s="912"/>
      <c r="K174" s="912"/>
      <c r="L174" s="913"/>
    </row>
    <row r="175" spans="1:12" s="896" customFormat="1" ht="15" customHeight="1">
      <c r="A175" s="1662"/>
      <c r="B175" s="2798"/>
      <c r="C175" s="1621"/>
      <c r="D175" s="1651"/>
      <c r="E175" s="1657">
        <f>+G166</f>
        <v>0</v>
      </c>
      <c r="F175" s="946"/>
      <c r="G175" s="1073"/>
      <c r="H175" s="1073"/>
      <c r="I175" s="1073"/>
      <c r="J175" s="1073"/>
      <c r="K175" s="1073"/>
      <c r="L175" s="1074"/>
    </row>
    <row r="176" spans="1:12" s="896" customFormat="1" ht="15" customHeight="1">
      <c r="A176" s="1625"/>
      <c r="B176" s="1626"/>
      <c r="C176" s="1626"/>
      <c r="D176" s="1663"/>
      <c r="E176" s="1663"/>
      <c r="F176" s="907"/>
      <c r="G176" s="1077"/>
      <c r="H176" s="1077"/>
      <c r="I176" s="1077"/>
      <c r="J176" s="1077"/>
      <c r="K176" s="1077"/>
      <c r="L176" s="1078"/>
    </row>
    <row r="177" spans="1:12" s="896" customFormat="1" ht="15" customHeight="1">
      <c r="A177" s="1630"/>
      <c r="B177" s="1631"/>
      <c r="C177" s="1664" t="s">
        <v>2684</v>
      </c>
      <c r="D177" s="1633"/>
      <c r="E177" s="1643"/>
      <c r="F177" s="911">
        <f>SUM(G177:L177)</f>
        <v>707942</v>
      </c>
      <c r="G177" s="912">
        <f t="shared" ref="G177:L177" si="83">SUM(G168:G175)</f>
        <v>707942</v>
      </c>
      <c r="H177" s="912">
        <f t="shared" si="83"/>
        <v>0</v>
      </c>
      <c r="I177" s="912">
        <f t="shared" si="83"/>
        <v>0</v>
      </c>
      <c r="J177" s="912">
        <f t="shared" si="83"/>
        <v>0</v>
      </c>
      <c r="K177" s="912">
        <f t="shared" si="83"/>
        <v>0</v>
      </c>
      <c r="L177" s="913">
        <f t="shared" si="83"/>
        <v>0</v>
      </c>
    </row>
    <row r="178" spans="1:12" s="896" customFormat="1" ht="15" customHeight="1">
      <c r="A178" s="1630"/>
      <c r="B178" s="1631"/>
      <c r="C178" s="1664" t="s">
        <v>2665</v>
      </c>
      <c r="D178" s="1633"/>
      <c r="E178" s="1643"/>
      <c r="F178" s="911">
        <f>SUM(G178:L178)</f>
        <v>5765444</v>
      </c>
      <c r="G178" s="912">
        <f t="shared" ref="G178:L178" si="84">+G153</f>
        <v>5765444</v>
      </c>
      <c r="H178" s="912">
        <f t="shared" si="84"/>
        <v>0</v>
      </c>
      <c r="I178" s="912">
        <f t="shared" si="84"/>
        <v>0</v>
      </c>
      <c r="J178" s="912">
        <f t="shared" si="84"/>
        <v>0</v>
      </c>
      <c r="K178" s="912">
        <f t="shared" si="84"/>
        <v>0</v>
      </c>
      <c r="L178" s="913">
        <f t="shared" si="84"/>
        <v>0</v>
      </c>
    </row>
    <row r="179" spans="1:12" s="896" customFormat="1" ht="15" customHeight="1" thickBot="1">
      <c r="A179" s="1665"/>
      <c r="B179" s="1666"/>
      <c r="C179" s="1667" t="s">
        <v>2685</v>
      </c>
      <c r="D179" s="1668"/>
      <c r="E179" s="1669"/>
      <c r="F179" s="1144">
        <f>SUM(G179:L179)</f>
        <v>6473386</v>
      </c>
      <c r="G179" s="1228">
        <f t="shared" ref="G179:L179" si="85">SUM(G177:G178)</f>
        <v>6473386</v>
      </c>
      <c r="H179" s="1228">
        <f t="shared" si="85"/>
        <v>0</v>
      </c>
      <c r="I179" s="1228">
        <f t="shared" si="85"/>
        <v>0</v>
      </c>
      <c r="J179" s="1228">
        <f t="shared" si="85"/>
        <v>0</v>
      </c>
      <c r="K179" s="1228">
        <f t="shared" si="85"/>
        <v>0</v>
      </c>
      <c r="L179" s="1229">
        <f t="shared" si="85"/>
        <v>0</v>
      </c>
    </row>
    <row r="180" spans="1:12" s="896" customFormat="1" ht="15" customHeight="1" thickTop="1">
      <c r="A180" s="1658"/>
      <c r="B180" s="1043"/>
      <c r="C180" s="1043"/>
      <c r="D180" s="1305"/>
      <c r="E180" s="1305"/>
      <c r="F180" s="926"/>
      <c r="G180" s="1075"/>
      <c r="H180" s="1075"/>
      <c r="I180" s="1075"/>
      <c r="J180" s="1075"/>
      <c r="K180" s="1075"/>
      <c r="L180" s="1670"/>
    </row>
    <row r="181" spans="1:12" s="896" customFormat="1" ht="15" customHeight="1">
      <c r="A181" s="1630"/>
      <c r="B181" s="1631"/>
      <c r="C181" s="1664" t="s">
        <v>2665</v>
      </c>
      <c r="D181" s="1633"/>
      <c r="E181" s="1643"/>
      <c r="F181" s="911">
        <f>SUM(G181:L181)</f>
        <v>5765444</v>
      </c>
      <c r="G181" s="912">
        <f t="shared" ref="G181:L181" si="86">+G178</f>
        <v>5765444</v>
      </c>
      <c r="H181" s="912">
        <f t="shared" si="86"/>
        <v>0</v>
      </c>
      <c r="I181" s="912">
        <f t="shared" si="86"/>
        <v>0</v>
      </c>
      <c r="J181" s="912">
        <f t="shared" si="86"/>
        <v>0</v>
      </c>
      <c r="K181" s="912">
        <f t="shared" si="86"/>
        <v>0</v>
      </c>
      <c r="L181" s="1671">
        <f t="shared" si="86"/>
        <v>0</v>
      </c>
    </row>
    <row r="182" spans="1:12" s="896" customFormat="1" ht="15" customHeight="1">
      <c r="A182" s="1630"/>
      <c r="B182" s="1631"/>
      <c r="C182" s="1664" t="s">
        <v>2686</v>
      </c>
      <c r="D182" s="1633"/>
      <c r="E182" s="1643"/>
      <c r="F182" s="911">
        <f>SUM(G182:L182)</f>
        <v>707556</v>
      </c>
      <c r="G182" s="912">
        <f t="shared" ref="G182:L182" si="87">+G177-(G179-G184)</f>
        <v>707556</v>
      </c>
      <c r="H182" s="912">
        <f t="shared" si="87"/>
        <v>0</v>
      </c>
      <c r="I182" s="912">
        <f t="shared" si="87"/>
        <v>0</v>
      </c>
      <c r="J182" s="912">
        <f t="shared" si="87"/>
        <v>0</v>
      </c>
      <c r="K182" s="912">
        <f t="shared" si="87"/>
        <v>0</v>
      </c>
      <c r="L182" s="1671">
        <f t="shared" si="87"/>
        <v>0</v>
      </c>
    </row>
    <row r="183" spans="1:12" s="896" customFormat="1" ht="15" customHeight="1">
      <c r="A183" s="1630"/>
      <c r="B183" s="1631"/>
      <c r="C183" s="1631"/>
      <c r="D183" s="1643"/>
      <c r="E183" s="1672">
        <f>F185+SUM(H184:L184)</f>
        <v>6473000</v>
      </c>
      <c r="F183" s="911" t="s">
        <v>2687</v>
      </c>
      <c r="G183" s="912">
        <f t="shared" ref="G183:L183" si="88">+G177-G182</f>
        <v>386</v>
      </c>
      <c r="H183" s="912">
        <f t="shared" si="88"/>
        <v>0</v>
      </c>
      <c r="I183" s="912">
        <f t="shared" si="88"/>
        <v>0</v>
      </c>
      <c r="J183" s="912">
        <f t="shared" si="88"/>
        <v>0</v>
      </c>
      <c r="K183" s="1233">
        <f t="shared" si="88"/>
        <v>0</v>
      </c>
      <c r="L183" s="1673">
        <f t="shared" si="88"/>
        <v>0</v>
      </c>
    </row>
    <row r="184" spans="1:12" s="896" customFormat="1" ht="15" customHeight="1">
      <c r="A184" s="1235"/>
      <c r="B184" s="1063"/>
      <c r="C184" s="1063" t="s">
        <v>2688</v>
      </c>
      <c r="D184" s="1236"/>
      <c r="E184" s="1672">
        <f>ROUNDDOWN(E183,4-LEN(E183))</f>
        <v>6473000</v>
      </c>
      <c r="F184" s="1237">
        <f>SUM(G184:L184)</f>
        <v>6473000</v>
      </c>
      <c r="G184" s="1233">
        <f>F185-E185</f>
        <v>6473000</v>
      </c>
      <c r="H184" s="1233">
        <f>ROUNDDOWN(H179,H185)</f>
        <v>0</v>
      </c>
      <c r="I184" s="1233">
        <f>ROUNDDOWN(I179,I185)</f>
        <v>0</v>
      </c>
      <c r="J184" s="1233">
        <f>ROUNDDOWN(J179,J185)</f>
        <v>0</v>
      </c>
      <c r="K184" s="1233">
        <f>ROUNDDOWN(K179,K185)</f>
        <v>0</v>
      </c>
      <c r="L184" s="1673">
        <f>ROUNDDOWN(L179,L185)</f>
        <v>0</v>
      </c>
    </row>
    <row r="185" spans="1:12" s="896" customFormat="1" ht="15" customHeight="1">
      <c r="A185" s="1238"/>
      <c r="B185" s="1239"/>
      <c r="C185" s="1239"/>
      <c r="D185" s="1240"/>
      <c r="E185" s="1242">
        <f>E183-E184</f>
        <v>0</v>
      </c>
      <c r="F185" s="1242">
        <f>ROUNDDOWN(G179,G185)</f>
        <v>6473000</v>
      </c>
      <c r="G185" s="1241">
        <f t="shared" ref="G185:L185" si="89">IF(LEN(G179)&lt;=7,-3,IF(LEN(G179)=8,-4,IF(LEN(G179)&gt;=9,-5,-6)))</f>
        <v>-3</v>
      </c>
      <c r="H185" s="1241">
        <f t="shared" si="89"/>
        <v>-3</v>
      </c>
      <c r="I185" s="1241">
        <f t="shared" si="89"/>
        <v>-3</v>
      </c>
      <c r="J185" s="1241">
        <f t="shared" si="89"/>
        <v>-3</v>
      </c>
      <c r="K185" s="1241">
        <f t="shared" si="89"/>
        <v>-3</v>
      </c>
      <c r="L185" s="1674">
        <f t="shared" si="89"/>
        <v>-3</v>
      </c>
    </row>
    <row r="186" spans="1:12" s="1287" customFormat="1" ht="13.5" customHeight="1">
      <c r="G186" s="1288"/>
      <c r="H186" s="1288"/>
      <c r="I186" s="1288"/>
      <c r="J186" s="1288"/>
      <c r="K186" s="1288"/>
      <c r="L186" s="1288"/>
    </row>
    <row r="187" spans="1:12" s="1287" customFormat="1" ht="13.5" hidden="1" customHeight="1">
      <c r="A187" s="1247"/>
      <c r="B187" s="1248"/>
      <c r="C187" s="1249" t="s">
        <v>2704</v>
      </c>
      <c r="D187" s="1250"/>
      <c r="E187" s="1248"/>
      <c r="F187" s="1251" t="s">
        <v>2690</v>
      </c>
      <c r="G187" s="1675">
        <f t="shared" ref="G187:L187" si="90">+G195</f>
        <v>3.5</v>
      </c>
      <c r="H187" s="1675">
        <f t="shared" si="90"/>
        <v>0</v>
      </c>
      <c r="I187" s="1675">
        <f t="shared" si="90"/>
        <v>0</v>
      </c>
      <c r="J187" s="1675">
        <f t="shared" si="90"/>
        <v>0</v>
      </c>
      <c r="K187" s="1675">
        <f t="shared" si="90"/>
        <v>0</v>
      </c>
      <c r="L187" s="1675">
        <f t="shared" si="90"/>
        <v>0</v>
      </c>
    </row>
    <row r="188" spans="1:12" s="1287" customFormat="1" ht="13.5" hidden="1" customHeight="1">
      <c r="A188" s="2651"/>
      <c r="B188" s="2654" t="s">
        <v>2691</v>
      </c>
      <c r="C188" s="1254" t="s">
        <v>2705</v>
      </c>
      <c r="D188" s="1063"/>
      <c r="E188" s="1255"/>
      <c r="F188" s="1256" t="s">
        <v>2817</v>
      </c>
      <c r="G188" s="1676">
        <f t="shared" ref="G188:L188" si="91">IF($F112&lt;=10000000,ROUND(151.08*((10000)^-0.3396)*(G187^0.586),2),ROUND(151.08*(($F112/1000)^-0.3396)*(G187^0.586),2))</f>
        <v>13.79</v>
      </c>
      <c r="H188" s="1676">
        <f t="shared" si="91"/>
        <v>0</v>
      </c>
      <c r="I188" s="1676">
        <f t="shared" si="91"/>
        <v>0</v>
      </c>
      <c r="J188" s="1676">
        <f t="shared" si="91"/>
        <v>0</v>
      </c>
      <c r="K188" s="1676">
        <f t="shared" si="91"/>
        <v>0</v>
      </c>
      <c r="L188" s="1676">
        <f t="shared" si="91"/>
        <v>0</v>
      </c>
    </row>
    <row r="189" spans="1:12" s="1287" customFormat="1" ht="13.5" hidden="1" customHeight="1">
      <c r="A189" s="2652"/>
      <c r="B189" s="2655"/>
      <c r="C189" s="2657" t="s">
        <v>2707</v>
      </c>
      <c r="D189" s="1133"/>
      <c r="E189" s="1258"/>
      <c r="F189" s="1256" t="s">
        <v>2695</v>
      </c>
      <c r="G189" s="1677">
        <f t="shared" ref="G189:L189" si="92">IF($F112&lt;=10000000,ROUND(20.13,2),0)</f>
        <v>20.13</v>
      </c>
      <c r="H189" s="1677">
        <f t="shared" si="92"/>
        <v>20.13</v>
      </c>
      <c r="I189" s="1677">
        <f t="shared" si="92"/>
        <v>20.13</v>
      </c>
      <c r="J189" s="1677">
        <f t="shared" si="92"/>
        <v>20.13</v>
      </c>
      <c r="K189" s="1677">
        <f t="shared" si="92"/>
        <v>20.13</v>
      </c>
      <c r="L189" s="1677">
        <f t="shared" si="92"/>
        <v>20.13</v>
      </c>
    </row>
    <row r="190" spans="1:12" s="1287" customFormat="1" ht="13.5" hidden="1" customHeight="1">
      <c r="A190" s="2652"/>
      <c r="B190" s="2655"/>
      <c r="C190" s="2794"/>
      <c r="D190" s="1260"/>
      <c r="E190" s="1261"/>
      <c r="F190" s="1256" t="s">
        <v>2696</v>
      </c>
      <c r="G190" s="1677">
        <f t="shared" ref="G190:L190" si="93">IF($F112&lt;=10000000,ROUND(10.01,2),0)</f>
        <v>10.01</v>
      </c>
      <c r="H190" s="1677">
        <f t="shared" si="93"/>
        <v>10.01</v>
      </c>
      <c r="I190" s="1677">
        <f t="shared" si="93"/>
        <v>10.01</v>
      </c>
      <c r="J190" s="1677">
        <f t="shared" si="93"/>
        <v>10.01</v>
      </c>
      <c r="K190" s="1677">
        <f t="shared" si="93"/>
        <v>10.01</v>
      </c>
      <c r="L190" s="1677">
        <f t="shared" si="93"/>
        <v>10.01</v>
      </c>
    </row>
    <row r="191" spans="1:12" s="1287" customFormat="1" ht="13.5" hidden="1" customHeight="1">
      <c r="A191" s="2652"/>
      <c r="B191" s="2655"/>
      <c r="C191" s="2657" t="s">
        <v>2708</v>
      </c>
      <c r="D191" s="1133"/>
      <c r="E191" s="1258"/>
      <c r="F191" s="1256" t="s">
        <v>2695</v>
      </c>
      <c r="G191" s="1678">
        <f t="shared" ref="G191:L191" si="94">IF($F112&gt;10000000,ROUND(75.97*($F112/1000)^-0.1442,2),0)</f>
        <v>0</v>
      </c>
      <c r="H191" s="1678">
        <f t="shared" si="94"/>
        <v>0</v>
      </c>
      <c r="I191" s="1678">
        <f t="shared" si="94"/>
        <v>0</v>
      </c>
      <c r="J191" s="1678">
        <f t="shared" si="94"/>
        <v>0</v>
      </c>
      <c r="K191" s="1678">
        <f t="shared" si="94"/>
        <v>0</v>
      </c>
      <c r="L191" s="1678">
        <f t="shared" si="94"/>
        <v>0</v>
      </c>
    </row>
    <row r="192" spans="1:12" s="1287" customFormat="1" ht="13.5" hidden="1" customHeight="1">
      <c r="A192" s="2653"/>
      <c r="B192" s="2656"/>
      <c r="C192" s="2794"/>
      <c r="D192" s="1260"/>
      <c r="E192" s="1261"/>
      <c r="F192" s="1256" t="s">
        <v>2696</v>
      </c>
      <c r="G192" s="1678">
        <f t="shared" ref="G192:L192" si="95">IF($F112&gt;10000000,ROUND(37.76*($F112/1000)^-0.1442,2),0)</f>
        <v>0</v>
      </c>
      <c r="H192" s="1678">
        <f t="shared" si="95"/>
        <v>0</v>
      </c>
      <c r="I192" s="1678">
        <f t="shared" si="95"/>
        <v>0</v>
      </c>
      <c r="J192" s="1678">
        <f t="shared" si="95"/>
        <v>0</v>
      </c>
      <c r="K192" s="1678">
        <f t="shared" si="95"/>
        <v>0</v>
      </c>
      <c r="L192" s="1678">
        <f t="shared" si="95"/>
        <v>0</v>
      </c>
    </row>
    <row r="193" spans="1:12" s="1287" customFormat="1" ht="13.5" hidden="1" customHeight="1" thickBot="1">
      <c r="A193" s="2791" t="s">
        <v>2709</v>
      </c>
      <c r="B193" s="2792"/>
      <c r="C193" s="2792"/>
      <c r="D193" s="2793"/>
      <c r="E193" s="1679"/>
      <c r="F193" s="1680"/>
      <c r="G193" s="1681">
        <f t="shared" ref="G193:L193" si="96">IF($F112&lt;=10000000,IF(G188&gt;G189,G189,IF(G188&lt;G190,G190,G188)),IF(G188&gt;G191,G191,IF(G188&lt;G192,G192,G188)))</f>
        <v>13.79</v>
      </c>
      <c r="H193" s="1681">
        <f t="shared" si="96"/>
        <v>10.01</v>
      </c>
      <c r="I193" s="1681">
        <f t="shared" si="96"/>
        <v>10.01</v>
      </c>
      <c r="J193" s="1681">
        <f t="shared" si="96"/>
        <v>10.01</v>
      </c>
      <c r="K193" s="1681">
        <f t="shared" si="96"/>
        <v>10.01</v>
      </c>
      <c r="L193" s="1681">
        <f t="shared" si="96"/>
        <v>10.01</v>
      </c>
    </row>
    <row r="194" spans="1:12" s="1287" customFormat="1" ht="13.5" hidden="1" customHeight="1" thickBot="1">
      <c r="A194" s="896"/>
      <c r="B194" s="896"/>
      <c r="C194" s="896"/>
      <c r="D194" s="896"/>
      <c r="E194" s="896"/>
      <c r="F194" s="896"/>
      <c r="G194" s="1264"/>
      <c r="H194" s="1264"/>
      <c r="I194" s="1264"/>
      <c r="J194" s="1264"/>
      <c r="K194" s="1264"/>
      <c r="L194" s="1264"/>
    </row>
    <row r="195" spans="1:12" s="1287" customFormat="1" ht="13.5" hidden="1" customHeight="1">
      <c r="A195" s="1247"/>
      <c r="B195" s="1248"/>
      <c r="C195" s="1249" t="s">
        <v>2704</v>
      </c>
      <c r="D195" s="1250"/>
      <c r="E195" s="1248"/>
      <c r="F195" s="1251" t="s">
        <v>2690</v>
      </c>
      <c r="G195" s="1675">
        <f t="shared" ref="G195:L195" si="97">+G65</f>
        <v>3.5</v>
      </c>
      <c r="H195" s="1675">
        <f t="shared" si="97"/>
        <v>0</v>
      </c>
      <c r="I195" s="1675">
        <f t="shared" si="97"/>
        <v>0</v>
      </c>
      <c r="J195" s="1675">
        <f t="shared" si="97"/>
        <v>0</v>
      </c>
      <c r="K195" s="1675">
        <f t="shared" si="97"/>
        <v>0</v>
      </c>
      <c r="L195" s="1675">
        <f t="shared" si="97"/>
        <v>0</v>
      </c>
    </row>
    <row r="196" spans="1:12" s="1287" customFormat="1" ht="13.5" hidden="1" customHeight="1">
      <c r="A196" s="2651"/>
      <c r="B196" s="2654" t="s">
        <v>2700</v>
      </c>
      <c r="C196" s="1254" t="s">
        <v>2705</v>
      </c>
      <c r="D196" s="1063"/>
      <c r="E196" s="1255"/>
      <c r="F196" s="1256" t="s">
        <v>2817</v>
      </c>
      <c r="G196" s="1676">
        <f t="shared" ref="G196:L196" si="98">IF($F112&lt;=5000000,ROUND(356.2*((5000)^-0.4085)*(G195^0.5766),2),ROUND(356.2*(($F112/1000)^-0.4085)*(G195^0.5766),2))</f>
        <v>22.61</v>
      </c>
      <c r="H196" s="1676">
        <f t="shared" si="98"/>
        <v>0</v>
      </c>
      <c r="I196" s="1676">
        <f t="shared" si="98"/>
        <v>0</v>
      </c>
      <c r="J196" s="1676">
        <f t="shared" si="98"/>
        <v>0</v>
      </c>
      <c r="K196" s="1676">
        <f t="shared" si="98"/>
        <v>0</v>
      </c>
      <c r="L196" s="1676">
        <f t="shared" si="98"/>
        <v>0</v>
      </c>
    </row>
    <row r="197" spans="1:12" s="1287" customFormat="1" ht="13.5" hidden="1" customHeight="1">
      <c r="A197" s="2652"/>
      <c r="B197" s="2655"/>
      <c r="C197" s="2657" t="s">
        <v>2710</v>
      </c>
      <c r="D197" s="1133"/>
      <c r="E197" s="1258"/>
      <c r="F197" s="1256" t="s">
        <v>2695</v>
      </c>
      <c r="G197" s="1677">
        <f t="shared" ref="G197:L197" si="99">IF($F112&lt;=5000000,ROUND(26.86,2),0)</f>
        <v>26.86</v>
      </c>
      <c r="H197" s="1677">
        <f t="shared" si="99"/>
        <v>26.86</v>
      </c>
      <c r="I197" s="1677">
        <f t="shared" si="99"/>
        <v>26.86</v>
      </c>
      <c r="J197" s="1677">
        <f t="shared" si="99"/>
        <v>26.86</v>
      </c>
      <c r="K197" s="1677">
        <f t="shared" si="99"/>
        <v>26.86</v>
      </c>
      <c r="L197" s="1677">
        <f t="shared" si="99"/>
        <v>26.86</v>
      </c>
    </row>
    <row r="198" spans="1:12" s="1287" customFormat="1" ht="13.5" hidden="1" customHeight="1">
      <c r="A198" s="2652"/>
      <c r="B198" s="2655"/>
      <c r="C198" s="2794"/>
      <c r="D198" s="1260"/>
      <c r="E198" s="1261"/>
      <c r="F198" s="1256" t="s">
        <v>2696</v>
      </c>
      <c r="G198" s="1677">
        <f t="shared" ref="G198:L198" si="100">IF($F112&lt;=5000000,ROUND(12.7,2),0)</f>
        <v>12.7</v>
      </c>
      <c r="H198" s="1677">
        <f t="shared" si="100"/>
        <v>12.7</v>
      </c>
      <c r="I198" s="1677">
        <f t="shared" si="100"/>
        <v>12.7</v>
      </c>
      <c r="J198" s="1677">
        <f t="shared" si="100"/>
        <v>12.7</v>
      </c>
      <c r="K198" s="1677">
        <f t="shared" si="100"/>
        <v>12.7</v>
      </c>
      <c r="L198" s="1677">
        <f t="shared" si="100"/>
        <v>12.7</v>
      </c>
    </row>
    <row r="199" spans="1:12" s="1287" customFormat="1" ht="13.5" hidden="1" customHeight="1">
      <c r="A199" s="2652"/>
      <c r="B199" s="2655"/>
      <c r="C199" s="2657" t="s">
        <v>2711</v>
      </c>
      <c r="D199" s="1133"/>
      <c r="E199" s="1258"/>
      <c r="F199" s="1256" t="s">
        <v>2695</v>
      </c>
      <c r="G199" s="1678">
        <f t="shared" ref="G199:L199" si="101">IF($F112&gt;5000000,ROUND(184.58*($F112/1000)^-0.2263,2),0)</f>
        <v>0</v>
      </c>
      <c r="H199" s="1678">
        <f t="shared" si="101"/>
        <v>0</v>
      </c>
      <c r="I199" s="1678">
        <f t="shared" si="101"/>
        <v>0</v>
      </c>
      <c r="J199" s="1678">
        <f t="shared" si="101"/>
        <v>0</v>
      </c>
      <c r="K199" s="1678">
        <f t="shared" si="101"/>
        <v>0</v>
      </c>
      <c r="L199" s="1678">
        <f t="shared" si="101"/>
        <v>0</v>
      </c>
    </row>
    <row r="200" spans="1:12" s="1287" customFormat="1" ht="13.5" hidden="1" customHeight="1">
      <c r="A200" s="2653"/>
      <c r="B200" s="2656"/>
      <c r="C200" s="2794"/>
      <c r="D200" s="1260"/>
      <c r="E200" s="1261"/>
      <c r="F200" s="1256" t="s">
        <v>2696</v>
      </c>
      <c r="G200" s="1678">
        <f t="shared" ref="G200:L200" si="102">IF($F112&gt;5000000,ROUND(87.29*($F112/1000)^-0.2263,2),0)</f>
        <v>0</v>
      </c>
      <c r="H200" s="1678">
        <f t="shared" si="102"/>
        <v>0</v>
      </c>
      <c r="I200" s="1678">
        <f t="shared" si="102"/>
        <v>0</v>
      </c>
      <c r="J200" s="1678">
        <f t="shared" si="102"/>
        <v>0</v>
      </c>
      <c r="K200" s="1678">
        <f t="shared" si="102"/>
        <v>0</v>
      </c>
      <c r="L200" s="1678">
        <f t="shared" si="102"/>
        <v>0</v>
      </c>
    </row>
    <row r="201" spans="1:12" s="1287" customFormat="1" ht="13.5" hidden="1" customHeight="1" thickBot="1">
      <c r="A201" s="2791" t="s">
        <v>2709</v>
      </c>
      <c r="B201" s="2792"/>
      <c r="C201" s="2792"/>
      <c r="D201" s="2792"/>
      <c r="E201" s="1682"/>
      <c r="F201" s="1680"/>
      <c r="G201" s="1683">
        <f t="shared" ref="G201:L201" si="103">IF($F112&lt;=5000000,IF(G196&gt;G197,G197,IF(G196&lt;G198,G198,G196)),IF(G196&gt;G199,G199,IF(G196&lt;G200,G200,G196)))</f>
        <v>22.61</v>
      </c>
      <c r="H201" s="1683">
        <f t="shared" si="103"/>
        <v>12.7</v>
      </c>
      <c r="I201" s="1683">
        <f t="shared" si="103"/>
        <v>12.7</v>
      </c>
      <c r="J201" s="1683">
        <f t="shared" si="103"/>
        <v>12.7</v>
      </c>
      <c r="K201" s="1683">
        <f t="shared" si="103"/>
        <v>12.7</v>
      </c>
      <c r="L201" s="1683">
        <f t="shared" si="103"/>
        <v>12.7</v>
      </c>
    </row>
    <row r="202" spans="1:12" s="1287" customFormat="1" ht="13.5" hidden="1" customHeight="1" thickBot="1">
      <c r="A202" s="896"/>
      <c r="B202" s="896"/>
      <c r="C202" s="896"/>
      <c r="D202" s="896"/>
      <c r="E202" s="896"/>
      <c r="F202" s="896"/>
      <c r="G202" s="1246"/>
      <c r="H202" s="1246"/>
      <c r="I202" s="1246"/>
      <c r="J202" s="1246"/>
      <c r="K202" s="1246"/>
      <c r="L202" s="1246"/>
    </row>
    <row r="203" spans="1:12" s="1287" customFormat="1" ht="13.5" hidden="1" customHeight="1">
      <c r="A203" s="1247"/>
      <c r="B203" s="1248"/>
      <c r="C203" s="1249" t="s">
        <v>2712</v>
      </c>
      <c r="D203" s="1250"/>
      <c r="E203" s="1248"/>
      <c r="F203" s="1251"/>
      <c r="G203" s="1271"/>
      <c r="H203" s="1272"/>
      <c r="I203" s="1273"/>
      <c r="J203" s="1273"/>
      <c r="K203" s="1273"/>
      <c r="L203" s="1273"/>
    </row>
    <row r="204" spans="1:12" s="1287" customFormat="1" ht="13.5" hidden="1" customHeight="1">
      <c r="A204" s="2651"/>
      <c r="B204" s="2654" t="s">
        <v>79</v>
      </c>
      <c r="C204" s="1254" t="s">
        <v>2713</v>
      </c>
      <c r="D204" s="1063"/>
      <c r="E204" s="1255"/>
      <c r="F204" s="1256" t="s">
        <v>2818</v>
      </c>
      <c r="G204" s="1684">
        <f>ROUND(28.978-3.173*LOG($F154/1000),2)</f>
        <v>19.18</v>
      </c>
      <c r="H204" s="1275"/>
      <c r="I204" s="1276"/>
      <c r="J204" s="1276"/>
      <c r="K204" s="1276"/>
      <c r="L204" s="1276"/>
    </row>
    <row r="205" spans="1:12" s="1287" customFormat="1" ht="13.5" hidden="1" customHeight="1">
      <c r="A205" s="2652"/>
      <c r="B205" s="2655"/>
      <c r="C205" s="1277" t="s">
        <v>2715</v>
      </c>
      <c r="D205" s="1133"/>
      <c r="E205" s="1133"/>
      <c r="F205" s="1278"/>
      <c r="G205" s="1685">
        <f>IF($F154&lt;=5000000,17.24,0)</f>
        <v>17.239999999999998</v>
      </c>
      <c r="H205" s="1280"/>
      <c r="I205" s="1281"/>
      <c r="J205" s="147"/>
      <c r="K205" s="1281"/>
      <c r="L205" s="1281"/>
    </row>
    <row r="206" spans="1:12" s="1287" customFormat="1" ht="13.5" hidden="1" customHeight="1">
      <c r="A206" s="2652"/>
      <c r="B206" s="2655"/>
      <c r="C206" s="1277" t="s">
        <v>2716</v>
      </c>
      <c r="D206" s="1133"/>
      <c r="E206" s="1063"/>
      <c r="F206" s="1278"/>
      <c r="G206" s="1685">
        <f>IF($F154&gt;3000000000,8.43,0)</f>
        <v>0</v>
      </c>
      <c r="H206" s="1282"/>
      <c r="I206" s="1283"/>
      <c r="J206" s="1283"/>
      <c r="K206" s="1283"/>
      <c r="L206" s="1283"/>
    </row>
    <row r="207" spans="1:12" s="1287" customFormat="1" ht="13.5" hidden="1" customHeight="1" thickBot="1">
      <c r="A207" s="2789" t="s">
        <v>2717</v>
      </c>
      <c r="B207" s="2790"/>
      <c r="C207" s="2790"/>
      <c r="D207" s="2790"/>
      <c r="E207" s="1686"/>
      <c r="F207" s="1687"/>
      <c r="G207" s="1688">
        <f>IF($F154&lt;=5000000,G205,IF($F154&gt;3000000000,G206,G204))</f>
        <v>17.239999999999998</v>
      </c>
      <c r="H207" s="1689"/>
      <c r="I207" s="1690"/>
      <c r="J207" s="1690"/>
      <c r="K207" s="1690"/>
      <c r="L207" s="1690"/>
    </row>
    <row r="208" spans="1:12" s="1287" customFormat="1" ht="13.5" customHeight="1">
      <c r="A208" s="1043"/>
      <c r="B208" s="1043"/>
      <c r="C208" s="1042"/>
      <c r="D208" s="1042"/>
      <c r="E208" s="1457" t="s">
        <v>2513</v>
      </c>
      <c r="F208" s="1458" t="s">
        <v>2819</v>
      </c>
      <c r="G208" s="1459"/>
      <c r="H208" s="1459"/>
      <c r="I208" s="1046"/>
      <c r="J208" s="1046"/>
      <c r="K208" s="844"/>
      <c r="L208" s="1100" t="s">
        <v>2820</v>
      </c>
    </row>
    <row r="209" spans="1:12" s="1287" customFormat="1" ht="13.5" customHeight="1">
      <c r="A209" s="1043"/>
      <c r="B209" s="1043"/>
      <c r="C209" s="1460" t="s">
        <v>2719</v>
      </c>
      <c r="D209" s="808"/>
      <c r="E209" s="1042"/>
      <c r="F209" s="1042"/>
      <c r="G209" s="1100"/>
      <c r="H209" s="1046"/>
      <c r="I209" s="1046"/>
      <c r="J209" s="1046"/>
      <c r="K209" s="1043" t="s">
        <v>2759</v>
      </c>
      <c r="L209" s="1691" t="s">
        <v>2760</v>
      </c>
    </row>
    <row r="210" spans="1:12" s="1287" customFormat="1" ht="13.5" customHeight="1">
      <c r="A210" s="1462"/>
      <c r="B210" s="1463"/>
      <c r="C210" s="879" t="s">
        <v>2522</v>
      </c>
      <c r="D210" s="880"/>
      <c r="E210" s="881"/>
      <c r="F210" s="882" t="s">
        <v>2600</v>
      </c>
      <c r="G210" s="883">
        <f t="shared" ref="G210:L210" si="104">+G8</f>
        <v>3.5</v>
      </c>
      <c r="H210" s="883">
        <f t="shared" si="104"/>
        <v>0</v>
      </c>
      <c r="I210" s="883">
        <f t="shared" si="104"/>
        <v>0</v>
      </c>
      <c r="J210" s="883">
        <f t="shared" si="104"/>
        <v>0</v>
      </c>
      <c r="K210" s="883">
        <f t="shared" si="104"/>
        <v>0</v>
      </c>
      <c r="L210" s="1692">
        <f t="shared" si="104"/>
        <v>0</v>
      </c>
    </row>
    <row r="211" spans="1:12" s="1287" customFormat="1" ht="13.5" customHeight="1">
      <c r="A211" s="1347"/>
      <c r="B211" s="1466"/>
      <c r="C211" s="1466" t="s">
        <v>2761</v>
      </c>
      <c r="D211" s="1466"/>
      <c r="E211" s="1092" t="str">
        <f>+E66</f>
        <v>無し</v>
      </c>
      <c r="F211" s="1468" t="s">
        <v>2517</v>
      </c>
      <c r="G211" s="1469" t="s">
        <v>2821</v>
      </c>
      <c r="H211" s="1469" t="s">
        <v>2821</v>
      </c>
      <c r="I211" s="1469" t="s">
        <v>2822</v>
      </c>
      <c r="J211" s="1469" t="s">
        <v>2822</v>
      </c>
      <c r="K211" s="1469" t="s">
        <v>2822</v>
      </c>
      <c r="L211" s="1693" t="s">
        <v>2822</v>
      </c>
    </row>
    <row r="212" spans="1:12" s="1287" customFormat="1" ht="13.5" customHeight="1">
      <c r="A212" s="1354"/>
      <c r="B212" s="1471"/>
      <c r="C212" s="1471" t="s">
        <v>2604</v>
      </c>
      <c r="D212" s="1471"/>
      <c r="E212" s="1053" t="str">
        <f>+E67</f>
        <v>有り</v>
      </c>
      <c r="F212" s="1473" t="s">
        <v>2605</v>
      </c>
      <c r="G212" s="1474"/>
      <c r="H212" s="1474"/>
      <c r="I212" s="1474"/>
      <c r="J212" s="1474"/>
      <c r="K212" s="1474"/>
      <c r="L212" s="1694"/>
    </row>
    <row r="213" spans="1:12" s="1287" customFormat="1" ht="13.5" customHeight="1">
      <c r="A213" s="1347"/>
      <c r="B213" s="1476" t="s">
        <v>2733</v>
      </c>
      <c r="C213" s="1477"/>
      <c r="D213" s="1477"/>
      <c r="E213" s="1478"/>
      <c r="F213" s="1479">
        <f>SUM(G213:L213)</f>
        <v>7000000</v>
      </c>
      <c r="G213" s="1695">
        <f t="shared" ref="G213:L213" si="105">+G68+G9</f>
        <v>7000000</v>
      </c>
      <c r="H213" s="1695">
        <f t="shared" si="105"/>
        <v>0</v>
      </c>
      <c r="I213" s="1695">
        <f t="shared" si="105"/>
        <v>0</v>
      </c>
      <c r="J213" s="1695">
        <f t="shared" si="105"/>
        <v>0</v>
      </c>
      <c r="K213" s="1695">
        <f t="shared" si="105"/>
        <v>0</v>
      </c>
      <c r="L213" s="1696">
        <f t="shared" si="105"/>
        <v>0</v>
      </c>
    </row>
    <row r="214" spans="1:12" s="1287" customFormat="1" ht="13.5" customHeight="1">
      <c r="A214" s="1354"/>
      <c r="B214" s="1482" t="s">
        <v>2762</v>
      </c>
      <c r="C214" s="1349"/>
      <c r="D214" s="1349"/>
      <c r="E214" s="1350"/>
      <c r="F214" s="1351">
        <f>SUM(G214:L214)</f>
        <v>1100000</v>
      </c>
      <c r="G214" s="1697">
        <f t="shared" ref="G214:L215" si="106">G10+G69</f>
        <v>1100000</v>
      </c>
      <c r="H214" s="1697">
        <f t="shared" si="106"/>
        <v>0</v>
      </c>
      <c r="I214" s="1697">
        <f t="shared" si="106"/>
        <v>0</v>
      </c>
      <c r="J214" s="1697">
        <f t="shared" si="106"/>
        <v>0</v>
      </c>
      <c r="K214" s="1697">
        <f t="shared" si="106"/>
        <v>0</v>
      </c>
      <c r="L214" s="1697">
        <f t="shared" si="106"/>
        <v>0</v>
      </c>
    </row>
    <row r="215" spans="1:12" s="1287" customFormat="1" ht="13.5" customHeight="1">
      <c r="A215" s="1354"/>
      <c r="B215" s="1482"/>
      <c r="C215" s="1485" t="s">
        <v>2735</v>
      </c>
      <c r="D215" s="1485"/>
      <c r="E215" s="1486"/>
      <c r="F215" s="1487"/>
      <c r="G215" s="1698">
        <f t="shared" si="106"/>
        <v>570000</v>
      </c>
      <c r="H215" s="1698">
        <f t="shared" si="106"/>
        <v>0</v>
      </c>
      <c r="I215" s="1698">
        <f t="shared" si="106"/>
        <v>0</v>
      </c>
      <c r="J215" s="1698">
        <f t="shared" si="106"/>
        <v>0</v>
      </c>
      <c r="K215" s="1698">
        <f t="shared" si="106"/>
        <v>0</v>
      </c>
      <c r="L215" s="1698">
        <f t="shared" si="106"/>
        <v>0</v>
      </c>
    </row>
    <row r="216" spans="1:12" s="1287" customFormat="1" ht="13.5" customHeight="1">
      <c r="A216" s="1347"/>
      <c r="B216" s="1490" t="s">
        <v>2823</v>
      </c>
      <c r="C216" s="1491"/>
      <c r="D216" s="1491"/>
      <c r="E216" s="1492"/>
      <c r="F216" s="1479">
        <f>SUM(G216:L216)</f>
        <v>6902196</v>
      </c>
      <c r="G216" s="905">
        <f t="shared" ref="G216:L216" si="107">SUM(G258:G271)</f>
        <v>6902196</v>
      </c>
      <c r="H216" s="905">
        <f t="shared" si="107"/>
        <v>0</v>
      </c>
      <c r="I216" s="905">
        <f t="shared" si="107"/>
        <v>0</v>
      </c>
      <c r="J216" s="905">
        <f t="shared" si="107"/>
        <v>0</v>
      </c>
      <c r="K216" s="905">
        <f t="shared" si="107"/>
        <v>0</v>
      </c>
      <c r="L216" s="906">
        <f t="shared" si="107"/>
        <v>0</v>
      </c>
    </row>
    <row r="217" spans="1:12" s="1287" customFormat="1" ht="13.5" customHeight="1">
      <c r="A217" s="1354"/>
      <c r="B217" s="1471"/>
      <c r="C217" s="1493" t="s">
        <v>2764</v>
      </c>
      <c r="D217" s="1494"/>
      <c r="E217" s="1495"/>
      <c r="F217" s="1351">
        <f>SUM(G217:L217)</f>
        <v>5908196</v>
      </c>
      <c r="G217" s="1496">
        <f t="shared" ref="G217:L217" si="108">G216-G220</f>
        <v>5908196</v>
      </c>
      <c r="H217" s="1496">
        <f t="shared" si="108"/>
        <v>0</v>
      </c>
      <c r="I217" s="1496">
        <f t="shared" si="108"/>
        <v>0</v>
      </c>
      <c r="J217" s="1496">
        <f t="shared" si="108"/>
        <v>0</v>
      </c>
      <c r="K217" s="1496">
        <f t="shared" si="108"/>
        <v>0</v>
      </c>
      <c r="L217" s="1497">
        <f t="shared" si="108"/>
        <v>0</v>
      </c>
    </row>
    <row r="218" spans="1:12" s="1287" customFormat="1" ht="13.5" customHeight="1">
      <c r="A218" s="1354"/>
      <c r="B218" s="1471"/>
      <c r="C218" s="1498"/>
      <c r="D218" s="1498"/>
      <c r="E218" s="1499"/>
      <c r="F218" s="1358" t="s">
        <v>2765</v>
      </c>
      <c r="G218" s="1500">
        <f t="shared" ref="G218:L218" si="109">SUM(G260:G271)</f>
        <v>5332196</v>
      </c>
      <c r="H218" s="1500">
        <f t="shared" si="109"/>
        <v>0</v>
      </c>
      <c r="I218" s="1500">
        <f t="shared" si="109"/>
        <v>0</v>
      </c>
      <c r="J218" s="1500">
        <f t="shared" si="109"/>
        <v>0</v>
      </c>
      <c r="K218" s="1500">
        <f t="shared" si="109"/>
        <v>0</v>
      </c>
      <c r="L218" s="1501">
        <f t="shared" si="109"/>
        <v>0</v>
      </c>
    </row>
    <row r="219" spans="1:12" s="1287" customFormat="1" ht="13.5" customHeight="1">
      <c r="A219" s="1354"/>
      <c r="B219" s="1471"/>
      <c r="C219" s="1498"/>
      <c r="D219" s="1498"/>
      <c r="E219" s="1499"/>
      <c r="F219" s="1358" t="s">
        <v>2611</v>
      </c>
      <c r="G219" s="1500">
        <f t="shared" ref="G219:L219" si="110">SUM(G260:G267,G252)</f>
        <v>5332196</v>
      </c>
      <c r="H219" s="1500">
        <f t="shared" si="110"/>
        <v>0</v>
      </c>
      <c r="I219" s="1500">
        <f t="shared" si="110"/>
        <v>0</v>
      </c>
      <c r="J219" s="1500">
        <f t="shared" si="110"/>
        <v>0</v>
      </c>
      <c r="K219" s="1500">
        <f t="shared" si="110"/>
        <v>0</v>
      </c>
      <c r="L219" s="1501">
        <f t="shared" si="110"/>
        <v>0</v>
      </c>
    </row>
    <row r="220" spans="1:12" s="1287" customFormat="1" ht="13.5" customHeight="1">
      <c r="A220" s="1502"/>
      <c r="B220" s="1485"/>
      <c r="C220" s="1503" t="s">
        <v>2766</v>
      </c>
      <c r="D220" s="1503"/>
      <c r="E220" s="1504"/>
      <c r="F220" s="1364">
        <f t="shared" ref="F220:F229" si="111">SUM(G220:L220)</f>
        <v>994000</v>
      </c>
      <c r="G220" s="1073">
        <f t="shared" ref="G220:L220" si="112">+G260+G247+G249+G252+G251+G215</f>
        <v>994000</v>
      </c>
      <c r="H220" s="1073">
        <f t="shared" si="112"/>
        <v>0</v>
      </c>
      <c r="I220" s="1073">
        <f t="shared" si="112"/>
        <v>0</v>
      </c>
      <c r="J220" s="1073">
        <f t="shared" si="112"/>
        <v>0</v>
      </c>
      <c r="K220" s="1073">
        <f t="shared" si="112"/>
        <v>0</v>
      </c>
      <c r="L220" s="1073">
        <f t="shared" si="112"/>
        <v>0</v>
      </c>
    </row>
    <row r="221" spans="1:12" s="1287" customFormat="1" ht="13.5" customHeight="1">
      <c r="A221" s="1354"/>
      <c r="B221" s="1505" t="s">
        <v>2767</v>
      </c>
      <c r="C221" s="1505"/>
      <c r="D221" s="1505"/>
      <c r="E221" s="1506"/>
      <c r="F221" s="1507">
        <f t="shared" si="111"/>
        <v>1933804</v>
      </c>
      <c r="G221" s="1508">
        <f t="shared" ref="G221:L221" si="113">G222+G225</f>
        <v>1933804</v>
      </c>
      <c r="H221" s="1508">
        <f t="shared" si="113"/>
        <v>0</v>
      </c>
      <c r="I221" s="1508">
        <f t="shared" si="113"/>
        <v>0</v>
      </c>
      <c r="J221" s="1508">
        <f t="shared" si="113"/>
        <v>0</v>
      </c>
      <c r="K221" s="1508">
        <f t="shared" si="113"/>
        <v>0</v>
      </c>
      <c r="L221" s="1509">
        <f t="shared" si="113"/>
        <v>0</v>
      </c>
    </row>
    <row r="222" spans="1:12" s="1287" customFormat="1" ht="13.5" customHeight="1">
      <c r="A222" s="1354"/>
      <c r="B222" s="1471"/>
      <c r="C222" s="1510" t="s">
        <v>2615</v>
      </c>
      <c r="D222" s="1510"/>
      <c r="E222" s="1511"/>
      <c r="F222" s="1351">
        <f t="shared" si="111"/>
        <v>953879</v>
      </c>
      <c r="G222" s="1496">
        <f t="shared" ref="G222:L222" si="114">SUM(G223:G224)</f>
        <v>953879</v>
      </c>
      <c r="H222" s="1496">
        <f t="shared" si="114"/>
        <v>0</v>
      </c>
      <c r="I222" s="1496">
        <f t="shared" si="114"/>
        <v>0</v>
      </c>
      <c r="J222" s="1496">
        <f t="shared" si="114"/>
        <v>0</v>
      </c>
      <c r="K222" s="1496">
        <f t="shared" si="114"/>
        <v>0</v>
      </c>
      <c r="L222" s="1497">
        <f t="shared" si="114"/>
        <v>0</v>
      </c>
    </row>
    <row r="223" spans="1:12" s="1287" customFormat="1" ht="13.5" customHeight="1">
      <c r="A223" s="1354"/>
      <c r="B223" s="1471"/>
      <c r="C223" s="1356" t="s">
        <v>2617</v>
      </c>
      <c r="D223" s="1356"/>
      <c r="E223" s="1499"/>
      <c r="F223" s="1358">
        <f t="shared" si="111"/>
        <v>354977</v>
      </c>
      <c r="G223" s="1500">
        <f t="shared" ref="G223:L223" si="115">+G274+G276</f>
        <v>354977</v>
      </c>
      <c r="H223" s="1500">
        <f t="shared" si="115"/>
        <v>0</v>
      </c>
      <c r="I223" s="1500">
        <f t="shared" si="115"/>
        <v>0</v>
      </c>
      <c r="J223" s="1500">
        <f t="shared" si="115"/>
        <v>0</v>
      </c>
      <c r="K223" s="1500">
        <f t="shared" si="115"/>
        <v>0</v>
      </c>
      <c r="L223" s="1501">
        <f t="shared" si="115"/>
        <v>0</v>
      </c>
    </row>
    <row r="224" spans="1:12" s="1287" customFormat="1" ht="13.5" customHeight="1">
      <c r="A224" s="1354"/>
      <c r="B224" s="1471"/>
      <c r="C224" s="1356" t="s">
        <v>2622</v>
      </c>
      <c r="D224" s="1356"/>
      <c r="E224" s="1499"/>
      <c r="F224" s="1358">
        <f t="shared" si="111"/>
        <v>598902</v>
      </c>
      <c r="G224" s="1500">
        <f>SUM(G277:G291)</f>
        <v>598902</v>
      </c>
      <c r="H224" s="1500">
        <f>SUM(H277:H290)</f>
        <v>0</v>
      </c>
      <c r="I224" s="1500">
        <f>SUM(I277:I290)</f>
        <v>0</v>
      </c>
      <c r="J224" s="1500">
        <f>SUM(J277:J290)</f>
        <v>0</v>
      </c>
      <c r="K224" s="1500">
        <f>SUM(K277:K290)</f>
        <v>0</v>
      </c>
      <c r="L224" s="1501">
        <f>SUM(L277:L290)</f>
        <v>0</v>
      </c>
    </row>
    <row r="225" spans="1:12" s="1519" customFormat="1" ht="13.5" customHeight="1">
      <c r="A225" s="1512"/>
      <c r="B225" s="1513"/>
      <c r="C225" s="1514" t="s">
        <v>2620</v>
      </c>
      <c r="D225" s="1514"/>
      <c r="E225" s="1515"/>
      <c r="F225" s="1516">
        <f t="shared" si="111"/>
        <v>979925</v>
      </c>
      <c r="G225" s="1517">
        <f t="shared" ref="G225:L225" si="116">SUM(G226:G228)</f>
        <v>979925</v>
      </c>
      <c r="H225" s="1517">
        <f t="shared" si="116"/>
        <v>0</v>
      </c>
      <c r="I225" s="1517">
        <f t="shared" si="116"/>
        <v>0</v>
      </c>
      <c r="J225" s="1517">
        <f t="shared" si="116"/>
        <v>0</v>
      </c>
      <c r="K225" s="1517">
        <f t="shared" si="116"/>
        <v>0</v>
      </c>
      <c r="L225" s="1518">
        <f t="shared" si="116"/>
        <v>0</v>
      </c>
    </row>
    <row r="226" spans="1:12" s="1519" customFormat="1" ht="13.5" customHeight="1">
      <c r="A226" s="1512"/>
      <c r="B226" s="1513"/>
      <c r="C226" s="1520" t="s">
        <v>2617</v>
      </c>
      <c r="D226" s="1520"/>
      <c r="E226" s="1515"/>
      <c r="F226" s="1516">
        <f t="shared" si="111"/>
        <v>331343</v>
      </c>
      <c r="G226" s="1517">
        <f t="shared" ref="G226:L226" si="117">+G313-G328</f>
        <v>331343</v>
      </c>
      <c r="H226" s="1517">
        <f t="shared" si="117"/>
        <v>0</v>
      </c>
      <c r="I226" s="1517">
        <f t="shared" si="117"/>
        <v>0</v>
      </c>
      <c r="J226" s="1517">
        <f t="shared" si="117"/>
        <v>0</v>
      </c>
      <c r="K226" s="1517">
        <f t="shared" si="117"/>
        <v>0</v>
      </c>
      <c r="L226" s="1518">
        <f t="shared" si="117"/>
        <v>0</v>
      </c>
    </row>
    <row r="227" spans="1:12" s="1519" customFormat="1" ht="13.5" customHeight="1">
      <c r="A227" s="1512"/>
      <c r="B227" s="1513"/>
      <c r="C227" s="1520" t="s">
        <v>2621</v>
      </c>
      <c r="D227" s="1520"/>
      <c r="E227" s="1515"/>
      <c r="F227" s="1516">
        <f t="shared" si="111"/>
        <v>49680</v>
      </c>
      <c r="G227" s="1517">
        <f t="shared" ref="G227:L227" si="118">+G314+G315</f>
        <v>49680</v>
      </c>
      <c r="H227" s="1517">
        <f t="shared" si="118"/>
        <v>0</v>
      </c>
      <c r="I227" s="1517">
        <f t="shared" si="118"/>
        <v>0</v>
      </c>
      <c r="J227" s="1517">
        <f t="shared" si="118"/>
        <v>0</v>
      </c>
      <c r="K227" s="1517">
        <f t="shared" si="118"/>
        <v>0</v>
      </c>
      <c r="L227" s="1518">
        <f t="shared" si="118"/>
        <v>0</v>
      </c>
    </row>
    <row r="228" spans="1:12" s="1519" customFormat="1" ht="13.5" customHeight="1">
      <c r="A228" s="1512"/>
      <c r="B228" s="1521"/>
      <c r="C228" s="1522" t="s">
        <v>2622</v>
      </c>
      <c r="D228" s="1522"/>
      <c r="E228" s="1523"/>
      <c r="F228" s="1524">
        <f t="shared" si="111"/>
        <v>598902</v>
      </c>
      <c r="G228" s="1525">
        <f t="shared" ref="G228:L228" si="119">SUM(G316:G320)</f>
        <v>598902</v>
      </c>
      <c r="H228" s="1525">
        <f t="shared" si="119"/>
        <v>0</v>
      </c>
      <c r="I228" s="1525">
        <f t="shared" si="119"/>
        <v>0</v>
      </c>
      <c r="J228" s="1525">
        <f t="shared" si="119"/>
        <v>0</v>
      </c>
      <c r="K228" s="1525">
        <f t="shared" si="119"/>
        <v>0</v>
      </c>
      <c r="L228" s="1526">
        <f t="shared" si="119"/>
        <v>0</v>
      </c>
    </row>
    <row r="229" spans="1:12" s="1287" customFormat="1" ht="13.5" customHeight="1">
      <c r="A229" s="1527"/>
      <c r="B229" s="1491" t="s">
        <v>2768</v>
      </c>
      <c r="C229" s="1528"/>
      <c r="D229" s="1491"/>
      <c r="E229" s="1529"/>
      <c r="F229" s="1479">
        <f t="shared" si="111"/>
        <v>8836000</v>
      </c>
      <c r="G229" s="1530">
        <f t="shared" ref="G229:L229" si="120">G216+G221</f>
        <v>8836000</v>
      </c>
      <c r="H229" s="1530">
        <f t="shared" si="120"/>
        <v>0</v>
      </c>
      <c r="I229" s="1530">
        <f t="shared" si="120"/>
        <v>0</v>
      </c>
      <c r="J229" s="1530">
        <f t="shared" si="120"/>
        <v>0</v>
      </c>
      <c r="K229" s="1530">
        <f t="shared" si="120"/>
        <v>0</v>
      </c>
      <c r="L229" s="1531">
        <f t="shared" si="120"/>
        <v>0</v>
      </c>
    </row>
    <row r="230" spans="1:12" s="1287" customFormat="1" ht="13.5" customHeight="1">
      <c r="A230" s="1354"/>
      <c r="B230" s="1471"/>
      <c r="C230" s="1532" t="s">
        <v>2824</v>
      </c>
      <c r="D230" s="1532"/>
      <c r="E230" s="1533"/>
      <c r="F230" s="1534"/>
      <c r="G230" s="1535" t="s">
        <v>2626</v>
      </c>
      <c r="H230" s="1536"/>
      <c r="I230" s="1536"/>
      <c r="J230" s="1536"/>
      <c r="K230" s="1536"/>
      <c r="L230" s="1536"/>
    </row>
    <row r="231" spans="1:12" s="1287" customFormat="1" ht="13.5" customHeight="1">
      <c r="A231" s="1347"/>
      <c r="B231" s="1466"/>
      <c r="C231" s="1466"/>
      <c r="D231" s="1466"/>
      <c r="E231" s="1468"/>
      <c r="F231" s="1468" t="s">
        <v>2517</v>
      </c>
      <c r="G231" s="1469" t="str">
        <f t="shared" ref="G231:L231" si="121">+G211</f>
        <v>◇◇◇改造工事の部</v>
      </c>
      <c r="H231" s="1469" t="str">
        <f t="shared" si="121"/>
        <v>◇◇◇改造工事の部</v>
      </c>
      <c r="I231" s="1469" t="str">
        <f t="shared" si="121"/>
        <v>◇◇◇改造工事の部</v>
      </c>
      <c r="J231" s="1469" t="str">
        <f t="shared" si="121"/>
        <v>◇◇◇改造工事の部</v>
      </c>
      <c r="K231" s="1469" t="str">
        <f t="shared" si="121"/>
        <v>◇◇◇改造工事の部</v>
      </c>
      <c r="L231" s="1470" t="str">
        <f t="shared" si="121"/>
        <v>◇◇◇改造工事の部</v>
      </c>
    </row>
    <row r="232" spans="1:12" s="1287" customFormat="1" ht="13.5" customHeight="1">
      <c r="A232" s="1537" t="s">
        <v>2769</v>
      </c>
      <c r="B232" s="1538"/>
      <c r="C232" s="1539"/>
      <c r="D232" s="1539"/>
      <c r="E232" s="1540"/>
      <c r="F232" s="1541"/>
      <c r="G232" s="1542"/>
      <c r="H232" s="1542"/>
      <c r="I232" s="1542"/>
      <c r="J232" s="1542"/>
      <c r="K232" s="1542"/>
      <c r="L232" s="1543"/>
    </row>
    <row r="233" spans="1:12" s="1287" customFormat="1" ht="13.5" customHeight="1">
      <c r="A233" s="2819"/>
      <c r="B233" s="2799" t="s">
        <v>2740</v>
      </c>
      <c r="C233" s="1494" t="s">
        <v>2542</v>
      </c>
      <c r="D233" s="1494"/>
      <c r="E233" s="1511"/>
      <c r="F233" s="1351">
        <f>SUM(G233:L233)</f>
        <v>0</v>
      </c>
      <c r="G233" s="1699">
        <f t="shared" ref="G233:L242" si="122">+G88+G16</f>
        <v>0</v>
      </c>
      <c r="H233" s="1302">
        <f t="shared" si="122"/>
        <v>0</v>
      </c>
      <c r="I233" s="1302">
        <f t="shared" si="122"/>
        <v>0</v>
      </c>
      <c r="J233" s="1302">
        <f t="shared" si="122"/>
        <v>0</v>
      </c>
      <c r="K233" s="1302">
        <f t="shared" si="122"/>
        <v>0</v>
      </c>
      <c r="L233" s="1303">
        <f t="shared" si="122"/>
        <v>0</v>
      </c>
    </row>
    <row r="234" spans="1:12" s="1287" customFormat="1" ht="13.5" customHeight="1">
      <c r="A234" s="2820"/>
      <c r="B234" s="2803"/>
      <c r="C234" s="1548" t="s">
        <v>2543</v>
      </c>
      <c r="D234" s="1548"/>
      <c r="E234" s="1499"/>
      <c r="F234" s="1358">
        <f>SUM(G234:L234)</f>
        <v>1570000</v>
      </c>
      <c r="G234" s="1302">
        <f t="shared" si="122"/>
        <v>1570000</v>
      </c>
      <c r="H234" s="1302">
        <f t="shared" si="122"/>
        <v>0</v>
      </c>
      <c r="I234" s="1302">
        <f t="shared" si="122"/>
        <v>0</v>
      </c>
      <c r="J234" s="1302">
        <f t="shared" si="122"/>
        <v>0</v>
      </c>
      <c r="K234" s="1302">
        <f t="shared" si="122"/>
        <v>0</v>
      </c>
      <c r="L234" s="1303">
        <f t="shared" si="122"/>
        <v>0</v>
      </c>
    </row>
    <row r="235" spans="1:12" s="1287" customFormat="1" ht="13.5" customHeight="1">
      <c r="A235" s="2820"/>
      <c r="B235" s="2802" t="s">
        <v>2741</v>
      </c>
      <c r="C235" s="1700" t="s">
        <v>2770</v>
      </c>
      <c r="D235" s="1548"/>
      <c r="E235" s="1499"/>
      <c r="F235" s="1358">
        <f t="shared" ref="F235:F249" si="123">SUM(G235:L235)</f>
        <v>530000</v>
      </c>
      <c r="G235" s="1302">
        <f t="shared" si="122"/>
        <v>530000</v>
      </c>
      <c r="H235" s="1302">
        <f t="shared" si="122"/>
        <v>0</v>
      </c>
      <c r="I235" s="1302">
        <f t="shared" si="122"/>
        <v>0</v>
      </c>
      <c r="J235" s="1302">
        <f t="shared" si="122"/>
        <v>0</v>
      </c>
      <c r="K235" s="1302">
        <f t="shared" si="122"/>
        <v>0</v>
      </c>
      <c r="L235" s="1303">
        <f t="shared" si="122"/>
        <v>0</v>
      </c>
    </row>
    <row r="236" spans="1:12" s="1287" customFormat="1" ht="13.5" customHeight="1">
      <c r="A236" s="2820"/>
      <c r="B236" s="2800"/>
      <c r="C236" s="1548" t="s">
        <v>2771</v>
      </c>
      <c r="D236" s="1548"/>
      <c r="E236" s="1499"/>
      <c r="F236" s="1358">
        <f t="shared" si="123"/>
        <v>500000</v>
      </c>
      <c r="G236" s="1699">
        <f t="shared" si="122"/>
        <v>500000</v>
      </c>
      <c r="H236" s="1302">
        <f t="shared" si="122"/>
        <v>0</v>
      </c>
      <c r="I236" s="1302">
        <f t="shared" si="122"/>
        <v>0</v>
      </c>
      <c r="J236" s="1302">
        <f t="shared" si="122"/>
        <v>0</v>
      </c>
      <c r="K236" s="1302">
        <f t="shared" si="122"/>
        <v>0</v>
      </c>
      <c r="L236" s="1303">
        <f t="shared" si="122"/>
        <v>0</v>
      </c>
    </row>
    <row r="237" spans="1:12" s="1287" customFormat="1" ht="13.5" customHeight="1">
      <c r="A237" s="2820"/>
      <c r="B237" s="2800"/>
      <c r="C237" s="1582" t="s">
        <v>2825</v>
      </c>
      <c r="D237" s="1548"/>
      <c r="E237" s="1499"/>
      <c r="F237" s="1358">
        <f t="shared" si="123"/>
        <v>5500000</v>
      </c>
      <c r="G237" s="1302">
        <f t="shared" si="122"/>
        <v>5500000</v>
      </c>
      <c r="H237" s="1302">
        <f t="shared" si="122"/>
        <v>0</v>
      </c>
      <c r="I237" s="1302">
        <f t="shared" si="122"/>
        <v>0</v>
      </c>
      <c r="J237" s="1302">
        <f t="shared" si="122"/>
        <v>0</v>
      </c>
      <c r="K237" s="1302">
        <f t="shared" si="122"/>
        <v>0</v>
      </c>
      <c r="L237" s="1303">
        <f t="shared" si="122"/>
        <v>0</v>
      </c>
    </row>
    <row r="238" spans="1:12" s="1287" customFormat="1" ht="13.5" customHeight="1">
      <c r="A238" s="2820"/>
      <c r="B238" s="2800"/>
      <c r="C238" s="1548" t="s">
        <v>2773</v>
      </c>
      <c r="D238" s="1548"/>
      <c r="E238" s="1499"/>
      <c r="F238" s="1358">
        <f t="shared" si="123"/>
        <v>0</v>
      </c>
      <c r="G238" s="1302">
        <f t="shared" si="122"/>
        <v>0</v>
      </c>
      <c r="H238" s="1302">
        <f t="shared" si="122"/>
        <v>0</v>
      </c>
      <c r="I238" s="1302">
        <f t="shared" si="122"/>
        <v>0</v>
      </c>
      <c r="J238" s="1302">
        <f t="shared" si="122"/>
        <v>0</v>
      </c>
      <c r="K238" s="1302">
        <f t="shared" si="122"/>
        <v>0</v>
      </c>
      <c r="L238" s="1303">
        <f t="shared" si="122"/>
        <v>0</v>
      </c>
    </row>
    <row r="239" spans="1:12" s="1287" customFormat="1" ht="13.5" customHeight="1">
      <c r="A239" s="2820"/>
      <c r="B239" s="2800"/>
      <c r="C239" s="1548" t="s">
        <v>2774</v>
      </c>
      <c r="D239" s="1548"/>
      <c r="E239" s="1499"/>
      <c r="F239" s="1358">
        <f t="shared" si="123"/>
        <v>0</v>
      </c>
      <c r="G239" s="1302">
        <f t="shared" si="122"/>
        <v>0</v>
      </c>
      <c r="H239" s="1302">
        <f t="shared" si="122"/>
        <v>0</v>
      </c>
      <c r="I239" s="1302">
        <f t="shared" si="122"/>
        <v>0</v>
      </c>
      <c r="J239" s="1302">
        <f t="shared" si="122"/>
        <v>0</v>
      </c>
      <c r="K239" s="1302">
        <f t="shared" si="122"/>
        <v>0</v>
      </c>
      <c r="L239" s="1303">
        <f t="shared" si="122"/>
        <v>0</v>
      </c>
    </row>
    <row r="240" spans="1:12" s="1287" customFormat="1" ht="13.5" customHeight="1">
      <c r="A240" s="2820"/>
      <c r="B240" s="2800"/>
      <c r="C240" s="1558" t="s">
        <v>2775</v>
      </c>
      <c r="D240" s="1548"/>
      <c r="E240" s="1499"/>
      <c r="F240" s="1358">
        <f t="shared" si="123"/>
        <v>0</v>
      </c>
      <c r="G240" s="1302">
        <f t="shared" si="122"/>
        <v>0</v>
      </c>
      <c r="H240" s="1302">
        <f t="shared" si="122"/>
        <v>0</v>
      </c>
      <c r="I240" s="1302">
        <f t="shared" si="122"/>
        <v>0</v>
      </c>
      <c r="J240" s="1302">
        <f t="shared" si="122"/>
        <v>0</v>
      </c>
      <c r="K240" s="1302">
        <f t="shared" si="122"/>
        <v>0</v>
      </c>
      <c r="L240" s="1303">
        <f t="shared" si="122"/>
        <v>0</v>
      </c>
    </row>
    <row r="241" spans="1:12" s="1287" customFormat="1" ht="13.5" customHeight="1">
      <c r="A241" s="2820"/>
      <c r="B241" s="2800"/>
      <c r="C241" s="1548"/>
      <c r="D241" s="1548"/>
      <c r="E241" s="1499"/>
      <c r="F241" s="1358">
        <f t="shared" si="123"/>
        <v>0</v>
      </c>
      <c r="G241" s="1302">
        <f t="shared" si="122"/>
        <v>0</v>
      </c>
      <c r="H241" s="1302">
        <f t="shared" si="122"/>
        <v>0</v>
      </c>
      <c r="I241" s="1302">
        <f t="shared" si="122"/>
        <v>0</v>
      </c>
      <c r="J241" s="1302">
        <f t="shared" si="122"/>
        <v>0</v>
      </c>
      <c r="K241" s="1302">
        <f t="shared" si="122"/>
        <v>0</v>
      </c>
      <c r="L241" s="1303">
        <f t="shared" si="122"/>
        <v>0</v>
      </c>
    </row>
    <row r="242" spans="1:12" s="1287" customFormat="1" ht="13.5" customHeight="1">
      <c r="A242" s="2820"/>
      <c r="B242" s="2803"/>
      <c r="C242" s="1555"/>
      <c r="D242" s="1556"/>
      <c r="E242" s="1557"/>
      <c r="F242" s="1358">
        <f t="shared" si="123"/>
        <v>0</v>
      </c>
      <c r="G242" s="1302">
        <f t="shared" si="122"/>
        <v>0</v>
      </c>
      <c r="H242" s="1302">
        <f t="shared" si="122"/>
        <v>0</v>
      </c>
      <c r="I242" s="1302">
        <f t="shared" si="122"/>
        <v>0</v>
      </c>
      <c r="J242" s="1302">
        <f t="shared" si="122"/>
        <v>0</v>
      </c>
      <c r="K242" s="1302">
        <f t="shared" si="122"/>
        <v>0</v>
      </c>
      <c r="L242" s="1303">
        <f t="shared" si="122"/>
        <v>0</v>
      </c>
    </row>
    <row r="243" spans="1:12" s="1287" customFormat="1" ht="13.5" customHeight="1">
      <c r="A243" s="2820"/>
      <c r="B243" s="2802" t="s">
        <v>477</v>
      </c>
      <c r="C243" s="1548" t="s">
        <v>2776</v>
      </c>
      <c r="D243" s="1548"/>
      <c r="E243" s="1499"/>
      <c r="F243" s="1358">
        <f t="shared" si="123"/>
        <v>0</v>
      </c>
      <c r="G243" s="1302">
        <f t="shared" ref="G243:L252" si="124">+G98+G25</f>
        <v>0</v>
      </c>
      <c r="H243" s="1302">
        <f t="shared" si="124"/>
        <v>0</v>
      </c>
      <c r="I243" s="1302">
        <f t="shared" si="124"/>
        <v>0</v>
      </c>
      <c r="J243" s="1302">
        <f t="shared" si="124"/>
        <v>0</v>
      </c>
      <c r="K243" s="1302">
        <f t="shared" si="124"/>
        <v>0</v>
      </c>
      <c r="L243" s="1303">
        <f t="shared" si="124"/>
        <v>0</v>
      </c>
    </row>
    <row r="244" spans="1:12" s="1287" customFormat="1" ht="13.5" customHeight="1">
      <c r="A244" s="2820"/>
      <c r="B244" s="2800"/>
      <c r="C244" s="1554" t="s">
        <v>2826</v>
      </c>
      <c r="D244" s="1547"/>
      <c r="E244" s="1643"/>
      <c r="F244" s="911">
        <f t="shared" si="123"/>
        <v>0</v>
      </c>
      <c r="G244" s="912">
        <f t="shared" si="124"/>
        <v>0</v>
      </c>
      <c r="H244" s="912">
        <f t="shared" si="124"/>
        <v>0</v>
      </c>
      <c r="I244" s="912">
        <f t="shared" si="124"/>
        <v>0</v>
      </c>
      <c r="J244" s="912">
        <f t="shared" si="124"/>
        <v>0</v>
      </c>
      <c r="K244" s="912">
        <f t="shared" si="124"/>
        <v>0</v>
      </c>
      <c r="L244" s="913">
        <f t="shared" si="124"/>
        <v>0</v>
      </c>
    </row>
    <row r="245" spans="1:12" s="1287" customFormat="1" ht="13.5" customHeight="1">
      <c r="A245" s="2820"/>
      <c r="B245" s="2803"/>
      <c r="C245" s="1554" t="s">
        <v>2778</v>
      </c>
      <c r="D245" s="1547"/>
      <c r="E245" s="1643"/>
      <c r="F245" s="911">
        <f t="shared" si="123"/>
        <v>0</v>
      </c>
      <c r="G245" s="912">
        <f t="shared" si="124"/>
        <v>0</v>
      </c>
      <c r="H245" s="912">
        <f t="shared" si="124"/>
        <v>0</v>
      </c>
      <c r="I245" s="912">
        <f t="shared" si="124"/>
        <v>0</v>
      </c>
      <c r="J245" s="912">
        <f t="shared" si="124"/>
        <v>0</v>
      </c>
      <c r="K245" s="912">
        <f t="shared" si="124"/>
        <v>0</v>
      </c>
      <c r="L245" s="913">
        <f t="shared" si="124"/>
        <v>0</v>
      </c>
    </row>
    <row r="246" spans="1:12" s="1287" customFormat="1" ht="13.5" customHeight="1">
      <c r="A246" s="2820"/>
      <c r="B246" s="2822" t="s">
        <v>2556</v>
      </c>
      <c r="C246" s="1548" t="s">
        <v>2827</v>
      </c>
      <c r="D246" s="1548"/>
      <c r="E246" s="1499"/>
      <c r="F246" s="1358">
        <f t="shared" si="123"/>
        <v>0</v>
      </c>
      <c r="G246" s="1302">
        <f t="shared" si="124"/>
        <v>0</v>
      </c>
      <c r="H246" s="1302">
        <f t="shared" si="124"/>
        <v>0</v>
      </c>
      <c r="I246" s="1302">
        <f t="shared" si="124"/>
        <v>0</v>
      </c>
      <c r="J246" s="1302">
        <f t="shared" si="124"/>
        <v>0</v>
      </c>
      <c r="K246" s="1302">
        <f t="shared" si="124"/>
        <v>0</v>
      </c>
      <c r="L246" s="1303">
        <f t="shared" si="124"/>
        <v>0</v>
      </c>
    </row>
    <row r="247" spans="1:12" s="1287" customFormat="1" ht="13.5" customHeight="1">
      <c r="A247" s="2820"/>
      <c r="B247" s="2822"/>
      <c r="C247" s="1548"/>
      <c r="D247" s="1548"/>
      <c r="E247" s="1499"/>
      <c r="F247" s="1358">
        <f t="shared" si="123"/>
        <v>0</v>
      </c>
      <c r="G247" s="1302">
        <f t="shared" si="124"/>
        <v>0</v>
      </c>
      <c r="H247" s="1302">
        <f t="shared" si="124"/>
        <v>0</v>
      </c>
      <c r="I247" s="1302">
        <f t="shared" si="124"/>
        <v>0</v>
      </c>
      <c r="J247" s="1302">
        <f t="shared" si="124"/>
        <v>0</v>
      </c>
      <c r="K247" s="1302">
        <f t="shared" si="124"/>
        <v>0</v>
      </c>
      <c r="L247" s="1303">
        <f t="shared" si="124"/>
        <v>0</v>
      </c>
    </row>
    <row r="248" spans="1:12" s="1287" customFormat="1" ht="13.5" customHeight="1">
      <c r="A248" s="2820"/>
      <c r="B248" s="2822"/>
      <c r="C248" s="1548" t="s">
        <v>2828</v>
      </c>
      <c r="D248" s="1548"/>
      <c r="E248" s="1499"/>
      <c r="F248" s="1358">
        <f t="shared" si="123"/>
        <v>0</v>
      </c>
      <c r="G248" s="1302">
        <f t="shared" si="124"/>
        <v>0</v>
      </c>
      <c r="H248" s="1302">
        <f t="shared" si="124"/>
        <v>0</v>
      </c>
      <c r="I248" s="1302">
        <f t="shared" si="124"/>
        <v>0</v>
      </c>
      <c r="J248" s="1302">
        <f t="shared" si="124"/>
        <v>0</v>
      </c>
      <c r="K248" s="1302">
        <f t="shared" si="124"/>
        <v>0</v>
      </c>
      <c r="L248" s="1303">
        <f t="shared" si="124"/>
        <v>0</v>
      </c>
    </row>
    <row r="249" spans="1:12" s="1287" customFormat="1" ht="13.5" customHeight="1">
      <c r="A249" s="2820"/>
      <c r="B249" s="2822"/>
      <c r="C249" s="1548" t="s">
        <v>2829</v>
      </c>
      <c r="D249" s="1548"/>
      <c r="E249" s="1499"/>
      <c r="F249" s="1358">
        <f t="shared" si="123"/>
        <v>0</v>
      </c>
      <c r="G249" s="1302">
        <f t="shared" si="124"/>
        <v>0</v>
      </c>
      <c r="H249" s="1302">
        <f t="shared" si="124"/>
        <v>0</v>
      </c>
      <c r="I249" s="1302">
        <f t="shared" si="124"/>
        <v>0</v>
      </c>
      <c r="J249" s="1302">
        <f t="shared" si="124"/>
        <v>0</v>
      </c>
      <c r="K249" s="1302">
        <f t="shared" si="124"/>
        <v>0</v>
      </c>
      <c r="L249" s="1303">
        <f t="shared" si="124"/>
        <v>0</v>
      </c>
    </row>
    <row r="250" spans="1:12" s="1287" customFormat="1" ht="13.5" customHeight="1">
      <c r="A250" s="2820"/>
      <c r="B250" s="2802"/>
      <c r="C250" s="1559" t="s">
        <v>2782</v>
      </c>
      <c r="D250" s="1559"/>
      <c r="E250" s="1560"/>
      <c r="F250" s="1358">
        <f>SUM(G250:M250)</f>
        <v>0</v>
      </c>
      <c r="G250" s="1302">
        <f t="shared" si="124"/>
        <v>0</v>
      </c>
      <c r="H250" s="1302">
        <f t="shared" si="124"/>
        <v>0</v>
      </c>
      <c r="I250" s="1302">
        <f t="shared" si="124"/>
        <v>0</v>
      </c>
      <c r="J250" s="1302">
        <f t="shared" si="124"/>
        <v>0</v>
      </c>
      <c r="K250" s="1302">
        <f t="shared" si="124"/>
        <v>0</v>
      </c>
      <c r="L250" s="1303">
        <f t="shared" si="124"/>
        <v>0</v>
      </c>
    </row>
    <row r="251" spans="1:12" s="1287" customFormat="1" ht="13.5" customHeight="1">
      <c r="A251" s="2820"/>
      <c r="B251" s="2802"/>
      <c r="C251" s="1559" t="s">
        <v>2783</v>
      </c>
      <c r="D251" s="1559"/>
      <c r="E251" s="1560"/>
      <c r="F251" s="1358">
        <f>SUM(G251:M251)</f>
        <v>0</v>
      </c>
      <c r="G251" s="1302">
        <f t="shared" si="124"/>
        <v>0</v>
      </c>
      <c r="H251" s="1302">
        <f t="shared" si="124"/>
        <v>0</v>
      </c>
      <c r="I251" s="1302">
        <f t="shared" si="124"/>
        <v>0</v>
      </c>
      <c r="J251" s="1302">
        <f t="shared" si="124"/>
        <v>0</v>
      </c>
      <c r="K251" s="1302">
        <f t="shared" si="124"/>
        <v>0</v>
      </c>
      <c r="L251" s="1303">
        <f t="shared" si="124"/>
        <v>0</v>
      </c>
    </row>
    <row r="252" spans="1:12" s="1287" customFormat="1" ht="13.5" customHeight="1">
      <c r="A252" s="2821"/>
      <c r="B252" s="2823"/>
      <c r="C252" s="1561" t="s">
        <v>2814</v>
      </c>
      <c r="D252" s="1562"/>
      <c r="E252" s="1504"/>
      <c r="F252" s="1364">
        <f>SUM(G252:L252)</f>
        <v>0</v>
      </c>
      <c r="G252" s="1308">
        <f t="shared" si="124"/>
        <v>0</v>
      </c>
      <c r="H252" s="1308">
        <f t="shared" si="124"/>
        <v>0</v>
      </c>
      <c r="I252" s="1308">
        <f t="shared" si="124"/>
        <v>0</v>
      </c>
      <c r="J252" s="1308">
        <f t="shared" si="124"/>
        <v>0</v>
      </c>
      <c r="K252" s="1308">
        <f t="shared" si="124"/>
        <v>0</v>
      </c>
      <c r="L252" s="1309">
        <f t="shared" si="124"/>
        <v>0</v>
      </c>
    </row>
    <row r="253" spans="1:12" s="896" customFormat="1" ht="15" customHeight="1">
      <c r="A253" s="1043"/>
      <c r="B253" s="1043"/>
      <c r="C253" s="1565" t="s">
        <v>2726</v>
      </c>
      <c r="D253" s="808"/>
      <c r="E253" s="1042"/>
      <c r="F253" s="1042"/>
      <c r="G253" s="1046"/>
      <c r="H253" s="1046"/>
      <c r="I253" s="1046"/>
      <c r="J253" s="1046"/>
      <c r="K253" s="1046"/>
      <c r="L253" s="1100" t="s">
        <v>2830</v>
      </c>
    </row>
    <row r="254" spans="1:12" s="896" customFormat="1" ht="15" customHeight="1">
      <c r="A254" s="1043"/>
      <c r="B254" s="1043"/>
      <c r="C254" s="930" t="s">
        <v>2786</v>
      </c>
      <c r="D254" s="1566"/>
      <c r="E254" s="1042"/>
      <c r="F254" s="1042"/>
      <c r="G254" s="1046"/>
      <c r="H254" s="1046"/>
      <c r="I254" s="1046"/>
      <c r="J254" s="1046"/>
      <c r="K254" s="1046"/>
      <c r="L254" s="1100"/>
    </row>
    <row r="255" spans="1:12" s="896" customFormat="1" ht="15" customHeight="1">
      <c r="A255" s="1567"/>
      <c r="B255" s="1568"/>
      <c r="C255" s="1568"/>
      <c r="D255" s="2815"/>
      <c r="E255" s="2815" t="s">
        <v>2668</v>
      </c>
      <c r="F255" s="1092" t="s">
        <v>2517</v>
      </c>
      <c r="G255" s="1093" t="str">
        <f t="shared" ref="G255:L255" si="125">+G211</f>
        <v>◇◇◇改造工事の部</v>
      </c>
      <c r="H255" s="1093" t="str">
        <f t="shared" si="125"/>
        <v>◇◇◇改造工事の部</v>
      </c>
      <c r="I255" s="1093" t="str">
        <f t="shared" si="125"/>
        <v>◇◇◇改造工事の部</v>
      </c>
      <c r="J255" s="1093" t="str">
        <f t="shared" si="125"/>
        <v>◇◇◇改造工事の部</v>
      </c>
      <c r="K255" s="1093" t="str">
        <f t="shared" si="125"/>
        <v>◇◇◇改造工事の部</v>
      </c>
      <c r="L255" s="1315" t="str">
        <f t="shared" si="125"/>
        <v>◇◇◇改造工事の部</v>
      </c>
    </row>
    <row r="256" spans="1:12" s="896" customFormat="1" ht="15" customHeight="1">
      <c r="A256" s="2817" t="s">
        <v>2657</v>
      </c>
      <c r="B256" s="2818"/>
      <c r="C256" s="2818"/>
      <c r="D256" s="2816"/>
      <c r="E256" s="2816"/>
      <c r="F256" s="1101"/>
      <c r="G256" s="1102"/>
      <c r="H256" s="1102"/>
      <c r="I256" s="1102"/>
      <c r="J256" s="1102"/>
      <c r="K256" s="1102"/>
      <c r="L256" s="1569"/>
    </row>
    <row r="257" spans="1:12" s="896" customFormat="1" ht="14.25" customHeight="1">
      <c r="A257" s="1570"/>
      <c r="B257" s="1571" t="s">
        <v>2787</v>
      </c>
      <c r="C257" s="1572"/>
      <c r="D257" s="1093"/>
      <c r="E257" s="1573"/>
      <c r="F257" s="1108">
        <f>SUM(G257:L257)</f>
        <v>1570000</v>
      </c>
      <c r="G257" s="1109">
        <f t="shared" ref="G257:L257" si="126">SUM(G233:G234,G243:G249)</f>
        <v>1570000</v>
      </c>
      <c r="H257" s="1109">
        <f t="shared" si="126"/>
        <v>0</v>
      </c>
      <c r="I257" s="1109">
        <f t="shared" si="126"/>
        <v>0</v>
      </c>
      <c r="J257" s="1109">
        <f t="shared" si="126"/>
        <v>0</v>
      </c>
      <c r="K257" s="1109">
        <f t="shared" si="126"/>
        <v>0</v>
      </c>
      <c r="L257" s="1574">
        <f t="shared" si="126"/>
        <v>0</v>
      </c>
    </row>
    <row r="258" spans="1:12" s="896" customFormat="1" ht="15" customHeight="1">
      <c r="A258" s="1575"/>
      <c r="B258" s="2799" t="s">
        <v>2740</v>
      </c>
      <c r="C258" s="1494" t="s">
        <v>2542</v>
      </c>
      <c r="D258" s="1093"/>
      <c r="E258" s="1576" t="s">
        <v>2789</v>
      </c>
      <c r="F258" s="1108">
        <f>SUM(G258:L258)</f>
        <v>0</v>
      </c>
      <c r="G258" s="1077">
        <f>+G233</f>
        <v>0</v>
      </c>
      <c r="H258" s="1077">
        <f t="shared" ref="G258:L259" si="127">+H233</f>
        <v>0</v>
      </c>
      <c r="I258" s="1077">
        <f t="shared" si="127"/>
        <v>0</v>
      </c>
      <c r="J258" s="1077">
        <f t="shared" si="127"/>
        <v>0</v>
      </c>
      <c r="K258" s="1077">
        <f t="shared" si="127"/>
        <v>0</v>
      </c>
      <c r="L258" s="1078">
        <f t="shared" si="127"/>
        <v>0</v>
      </c>
    </row>
    <row r="259" spans="1:12" s="896" customFormat="1" ht="15" customHeight="1">
      <c r="A259" s="1578"/>
      <c r="B259" s="2803"/>
      <c r="C259" s="1548" t="s">
        <v>2543</v>
      </c>
      <c r="D259" s="1579"/>
      <c r="E259" s="1580" t="s">
        <v>2789</v>
      </c>
      <c r="F259" s="911">
        <f>SUM(G259:L259)</f>
        <v>1570000</v>
      </c>
      <c r="G259" s="912">
        <f t="shared" si="127"/>
        <v>1570000</v>
      </c>
      <c r="H259" s="912">
        <f t="shared" si="127"/>
        <v>0</v>
      </c>
      <c r="I259" s="912">
        <f t="shared" si="127"/>
        <v>0</v>
      </c>
      <c r="J259" s="912">
        <f t="shared" si="127"/>
        <v>0</v>
      </c>
      <c r="K259" s="912">
        <f t="shared" si="127"/>
        <v>0</v>
      </c>
      <c r="L259" s="913">
        <f t="shared" si="127"/>
        <v>0</v>
      </c>
    </row>
    <row r="260" spans="1:12" s="896" customFormat="1" ht="15" customHeight="1">
      <c r="A260" s="1578"/>
      <c r="B260" s="2802" t="s">
        <v>2741</v>
      </c>
      <c r="C260" s="1548" t="s">
        <v>2831</v>
      </c>
      <c r="D260" s="1579"/>
      <c r="E260" s="1557">
        <f t="shared" ref="E260:E265" si="128">+E132</f>
        <v>0.25</v>
      </c>
      <c r="F260" s="912">
        <f t="shared" ref="F260:F265" si="129">INT(F235/(1+$E260))</f>
        <v>424000</v>
      </c>
      <c r="G260" s="912">
        <f t="shared" ref="G260:G265" si="130">F260-SUM(H260:L260)</f>
        <v>424000</v>
      </c>
      <c r="H260" s="912">
        <f t="shared" ref="H260:L265" si="131">IF(H235=0,0,ROUND($F260/$F235*H235,0))</f>
        <v>0</v>
      </c>
      <c r="I260" s="912">
        <f t="shared" si="131"/>
        <v>0</v>
      </c>
      <c r="J260" s="912">
        <f t="shared" si="131"/>
        <v>0</v>
      </c>
      <c r="K260" s="912">
        <f t="shared" si="131"/>
        <v>0</v>
      </c>
      <c r="L260" s="913">
        <f t="shared" si="131"/>
        <v>0</v>
      </c>
    </row>
    <row r="261" spans="1:12" s="896" customFormat="1" ht="15" customHeight="1">
      <c r="A261" s="1578"/>
      <c r="B261" s="2800"/>
      <c r="C261" s="1548" t="s">
        <v>2832</v>
      </c>
      <c r="D261" s="1579"/>
      <c r="E261" s="1557">
        <f t="shared" si="128"/>
        <v>0.25</v>
      </c>
      <c r="F261" s="912">
        <f t="shared" si="129"/>
        <v>400000</v>
      </c>
      <c r="G261" s="912">
        <f t="shared" si="130"/>
        <v>400000</v>
      </c>
      <c r="H261" s="912">
        <f t="shared" si="131"/>
        <v>0</v>
      </c>
      <c r="I261" s="912">
        <f t="shared" si="131"/>
        <v>0</v>
      </c>
      <c r="J261" s="912">
        <f t="shared" si="131"/>
        <v>0</v>
      </c>
      <c r="K261" s="912">
        <f t="shared" si="131"/>
        <v>0</v>
      </c>
      <c r="L261" s="913">
        <f t="shared" si="131"/>
        <v>0</v>
      </c>
    </row>
    <row r="262" spans="1:12" s="896" customFormat="1" ht="15" customHeight="1">
      <c r="A262" s="1578"/>
      <c r="B262" s="2800"/>
      <c r="C262" s="1582" t="s">
        <v>2833</v>
      </c>
      <c r="D262" s="1579"/>
      <c r="E262" s="1557">
        <f t="shared" si="128"/>
        <v>0.22</v>
      </c>
      <c r="F262" s="912">
        <f t="shared" si="129"/>
        <v>4508196</v>
      </c>
      <c r="G262" s="912">
        <f t="shared" si="130"/>
        <v>4508196</v>
      </c>
      <c r="H262" s="912">
        <f t="shared" si="131"/>
        <v>0</v>
      </c>
      <c r="I262" s="912">
        <f t="shared" si="131"/>
        <v>0</v>
      </c>
      <c r="J262" s="912">
        <f t="shared" si="131"/>
        <v>0</v>
      </c>
      <c r="K262" s="912">
        <f t="shared" si="131"/>
        <v>0</v>
      </c>
      <c r="L262" s="913">
        <f t="shared" si="131"/>
        <v>0</v>
      </c>
    </row>
    <row r="263" spans="1:12" s="896" customFormat="1" ht="15" customHeight="1">
      <c r="A263" s="1578"/>
      <c r="B263" s="2800"/>
      <c r="C263" s="1548" t="s">
        <v>2792</v>
      </c>
      <c r="D263" s="1579"/>
      <c r="E263" s="1557">
        <f t="shared" si="128"/>
        <v>0.25</v>
      </c>
      <c r="F263" s="912">
        <f t="shared" si="129"/>
        <v>0</v>
      </c>
      <c r="G263" s="912">
        <f t="shared" si="130"/>
        <v>0</v>
      </c>
      <c r="H263" s="912">
        <f t="shared" si="131"/>
        <v>0</v>
      </c>
      <c r="I263" s="912">
        <f t="shared" si="131"/>
        <v>0</v>
      </c>
      <c r="J263" s="912">
        <f t="shared" si="131"/>
        <v>0</v>
      </c>
      <c r="K263" s="912">
        <f t="shared" si="131"/>
        <v>0</v>
      </c>
      <c r="L263" s="913">
        <f t="shared" si="131"/>
        <v>0</v>
      </c>
    </row>
    <row r="264" spans="1:12" s="896" customFormat="1" ht="15" customHeight="1">
      <c r="A264" s="1578"/>
      <c r="B264" s="2800"/>
      <c r="C264" s="1548" t="s">
        <v>2793</v>
      </c>
      <c r="D264" s="1579"/>
      <c r="E264" s="1557">
        <f t="shared" si="128"/>
        <v>0.25</v>
      </c>
      <c r="F264" s="912">
        <f t="shared" si="129"/>
        <v>0</v>
      </c>
      <c r="G264" s="912">
        <f t="shared" si="130"/>
        <v>0</v>
      </c>
      <c r="H264" s="912">
        <f t="shared" si="131"/>
        <v>0</v>
      </c>
      <c r="I264" s="912">
        <f t="shared" si="131"/>
        <v>0</v>
      </c>
      <c r="J264" s="912">
        <f t="shared" si="131"/>
        <v>0</v>
      </c>
      <c r="K264" s="912">
        <f t="shared" si="131"/>
        <v>0</v>
      </c>
      <c r="L264" s="913">
        <f t="shared" si="131"/>
        <v>0</v>
      </c>
    </row>
    <row r="265" spans="1:12" s="896" customFormat="1" ht="15" customHeight="1">
      <c r="A265" s="1578"/>
      <c r="B265" s="2800"/>
      <c r="C265" s="1548" t="s">
        <v>2794</v>
      </c>
      <c r="D265" s="1579"/>
      <c r="E265" s="1557">
        <f t="shared" si="128"/>
        <v>0.25</v>
      </c>
      <c r="F265" s="912">
        <f t="shared" si="129"/>
        <v>0</v>
      </c>
      <c r="G265" s="912">
        <f t="shared" si="130"/>
        <v>0</v>
      </c>
      <c r="H265" s="912">
        <f t="shared" si="131"/>
        <v>0</v>
      </c>
      <c r="I265" s="912">
        <f t="shared" si="131"/>
        <v>0</v>
      </c>
      <c r="J265" s="912">
        <f t="shared" si="131"/>
        <v>0</v>
      </c>
      <c r="K265" s="912">
        <f t="shared" si="131"/>
        <v>0</v>
      </c>
      <c r="L265" s="913">
        <f t="shared" si="131"/>
        <v>0</v>
      </c>
    </row>
    <row r="266" spans="1:12" s="896" customFormat="1" ht="15" customHeight="1">
      <c r="A266" s="1578"/>
      <c r="B266" s="2800"/>
      <c r="C266" s="1548"/>
      <c r="D266" s="1579"/>
      <c r="E266" s="1557"/>
      <c r="F266" s="911"/>
      <c r="G266" s="912"/>
      <c r="H266" s="912"/>
      <c r="I266" s="912"/>
      <c r="J266" s="912"/>
      <c r="K266" s="912"/>
      <c r="L266" s="913"/>
    </row>
    <row r="267" spans="1:12" s="896" customFormat="1" ht="15" customHeight="1">
      <c r="A267" s="1578"/>
      <c r="B267" s="2803"/>
      <c r="C267" s="1548"/>
      <c r="D267" s="1579"/>
      <c r="E267" s="1557"/>
      <c r="F267" s="911"/>
      <c r="G267" s="912"/>
      <c r="H267" s="912"/>
      <c r="I267" s="912"/>
      <c r="J267" s="912"/>
      <c r="K267" s="912"/>
      <c r="L267" s="913"/>
    </row>
    <row r="268" spans="1:12" s="896" customFormat="1" ht="15" customHeight="1">
      <c r="A268" s="1578"/>
      <c r="B268" s="2802" t="s">
        <v>477</v>
      </c>
      <c r="C268" s="1548" t="s">
        <v>2776</v>
      </c>
      <c r="D268" s="1579"/>
      <c r="E268" s="1557">
        <v>0.02</v>
      </c>
      <c r="F268" s="911">
        <f>SUM(G268:L268)</f>
        <v>0</v>
      </c>
      <c r="G268" s="912">
        <f>+G243</f>
        <v>0</v>
      </c>
      <c r="H268" s="912">
        <f t="shared" ref="G268:L270" si="132">+H243</f>
        <v>0</v>
      </c>
      <c r="I268" s="912">
        <f t="shared" si="132"/>
        <v>0</v>
      </c>
      <c r="J268" s="912">
        <f t="shared" si="132"/>
        <v>0</v>
      </c>
      <c r="K268" s="912">
        <f t="shared" si="132"/>
        <v>0</v>
      </c>
      <c r="L268" s="913">
        <f t="shared" si="132"/>
        <v>0</v>
      </c>
    </row>
    <row r="269" spans="1:12" s="896" customFormat="1" ht="15" customHeight="1">
      <c r="A269" s="1578"/>
      <c r="B269" s="2800"/>
      <c r="C269" s="1558" t="s">
        <v>2796</v>
      </c>
      <c r="D269" s="1579"/>
      <c r="E269" s="1557">
        <v>0.02</v>
      </c>
      <c r="F269" s="911">
        <f>SUM(G269:L269)</f>
        <v>0</v>
      </c>
      <c r="G269" s="912">
        <f t="shared" si="132"/>
        <v>0</v>
      </c>
      <c r="H269" s="912">
        <f t="shared" si="132"/>
        <v>0</v>
      </c>
      <c r="I269" s="912">
        <f t="shared" si="132"/>
        <v>0</v>
      </c>
      <c r="J269" s="912">
        <f t="shared" si="132"/>
        <v>0</v>
      </c>
      <c r="K269" s="912">
        <f t="shared" si="132"/>
        <v>0</v>
      </c>
      <c r="L269" s="913">
        <f t="shared" si="132"/>
        <v>0</v>
      </c>
    </row>
    <row r="270" spans="1:12" s="896" customFormat="1" ht="15" customHeight="1">
      <c r="A270" s="1578"/>
      <c r="B270" s="2803"/>
      <c r="C270" s="1558" t="s">
        <v>2804</v>
      </c>
      <c r="D270" s="1579"/>
      <c r="E270" s="1557">
        <v>0.02</v>
      </c>
      <c r="F270" s="911">
        <f>SUM(G270:L270)</f>
        <v>0</v>
      </c>
      <c r="G270" s="912">
        <f t="shared" si="132"/>
        <v>0</v>
      </c>
      <c r="H270" s="912">
        <f t="shared" si="132"/>
        <v>0</v>
      </c>
      <c r="I270" s="912">
        <f t="shared" si="132"/>
        <v>0</v>
      </c>
      <c r="J270" s="912">
        <f t="shared" si="132"/>
        <v>0</v>
      </c>
      <c r="K270" s="912">
        <f t="shared" si="132"/>
        <v>0</v>
      </c>
      <c r="L270" s="913">
        <f t="shared" si="132"/>
        <v>0</v>
      </c>
    </row>
    <row r="271" spans="1:12" s="896" customFormat="1" ht="15" customHeight="1">
      <c r="A271" s="1578"/>
      <c r="B271" s="1584" t="s">
        <v>2644</v>
      </c>
      <c r="C271" s="1585" t="s">
        <v>2798</v>
      </c>
      <c r="D271" s="1579"/>
      <c r="E271" s="1557">
        <v>0</v>
      </c>
      <c r="F271" s="911">
        <f>SUM(G271:L271)</f>
        <v>0</v>
      </c>
      <c r="G271" s="1073">
        <f t="shared" ref="G271:L271" si="133">SUM(G246:G252)</f>
        <v>0</v>
      </c>
      <c r="H271" s="1073">
        <f t="shared" si="133"/>
        <v>0</v>
      </c>
      <c r="I271" s="1073">
        <f t="shared" si="133"/>
        <v>0</v>
      </c>
      <c r="J271" s="1073">
        <f t="shared" si="133"/>
        <v>0</v>
      </c>
      <c r="K271" s="1073">
        <f t="shared" si="133"/>
        <v>0</v>
      </c>
      <c r="L271" s="1074">
        <f t="shared" si="133"/>
        <v>0</v>
      </c>
    </row>
    <row r="272" spans="1:12" s="896" customFormat="1" ht="15" customHeight="1">
      <c r="A272" s="1587" t="s">
        <v>2564</v>
      </c>
      <c r="B272" s="1588"/>
      <c r="C272" s="1588"/>
      <c r="D272" s="1589"/>
      <c r="E272" s="1590" t="s">
        <v>2799</v>
      </c>
      <c r="F272" s="1591"/>
      <c r="G272" s="1592"/>
      <c r="H272" s="1592"/>
      <c r="I272" s="1592"/>
      <c r="J272" s="1592"/>
      <c r="K272" s="1592"/>
      <c r="L272" s="1593"/>
    </row>
    <row r="273" spans="1:12" s="896" customFormat="1" ht="15" customHeight="1">
      <c r="A273" s="1575"/>
      <c r="B273" s="2799" t="s">
        <v>2740</v>
      </c>
      <c r="C273" s="1123" t="s">
        <v>2542</v>
      </c>
      <c r="D273" s="1124"/>
      <c r="E273" s="1125" t="s">
        <v>2802</v>
      </c>
      <c r="F273" s="1126" t="s">
        <v>2801</v>
      </c>
      <c r="G273" s="1127">
        <f t="shared" ref="G273:L273" si="134">IF(G258=0,0,+G338/100)</f>
        <v>0</v>
      </c>
      <c r="H273" s="1127">
        <f t="shared" si="134"/>
        <v>0</v>
      </c>
      <c r="I273" s="1127">
        <f t="shared" si="134"/>
        <v>0</v>
      </c>
      <c r="J273" s="1127">
        <f t="shared" si="134"/>
        <v>0</v>
      </c>
      <c r="K273" s="1127">
        <f t="shared" si="134"/>
        <v>0</v>
      </c>
      <c r="L273" s="1128">
        <f t="shared" si="134"/>
        <v>0</v>
      </c>
    </row>
    <row r="274" spans="1:12" s="896" customFormat="1" ht="15" customHeight="1">
      <c r="A274" s="1578"/>
      <c r="B274" s="2800"/>
      <c r="C274" s="1129"/>
      <c r="D274" s="1594">
        <v>1</v>
      </c>
      <c r="E274" s="1131" t="s">
        <v>2802</v>
      </c>
      <c r="F274" s="1064">
        <f>SUM(G274:N274)</f>
        <v>0</v>
      </c>
      <c r="G274" s="1080">
        <f t="shared" ref="G274:L274" si="135">ROUNDDOWN(G258*G273*$D274,0)</f>
        <v>0</v>
      </c>
      <c r="H274" s="1080">
        <f t="shared" si="135"/>
        <v>0</v>
      </c>
      <c r="I274" s="1080">
        <f t="shared" si="135"/>
        <v>0</v>
      </c>
      <c r="J274" s="1080">
        <f t="shared" si="135"/>
        <v>0</v>
      </c>
      <c r="K274" s="1080">
        <f t="shared" si="135"/>
        <v>0</v>
      </c>
      <c r="L274" s="1081">
        <f t="shared" si="135"/>
        <v>0</v>
      </c>
    </row>
    <row r="275" spans="1:12" s="896" customFormat="1" ht="15" customHeight="1">
      <c r="A275" s="1578"/>
      <c r="B275" s="2800"/>
      <c r="C275" s="1132" t="s">
        <v>2543</v>
      </c>
      <c r="D275" s="1133"/>
      <c r="E275" s="1131" t="s">
        <v>2802</v>
      </c>
      <c r="F275" s="1134" t="s">
        <v>2801</v>
      </c>
      <c r="G275" s="1155">
        <f t="shared" ref="G275:L275" si="136">IF(G259=0,0,+G346/100)</f>
        <v>0.2261</v>
      </c>
      <c r="H275" s="1155">
        <f t="shared" si="136"/>
        <v>0</v>
      </c>
      <c r="I275" s="1155">
        <f t="shared" si="136"/>
        <v>0</v>
      </c>
      <c r="J275" s="1155">
        <f t="shared" si="136"/>
        <v>0</v>
      </c>
      <c r="K275" s="1155">
        <f t="shared" si="136"/>
        <v>0</v>
      </c>
      <c r="L275" s="1595">
        <f t="shared" si="136"/>
        <v>0</v>
      </c>
    </row>
    <row r="276" spans="1:12" s="896" customFormat="1" ht="15" customHeight="1">
      <c r="A276" s="1578"/>
      <c r="B276" s="2801"/>
      <c r="C276" s="1129"/>
      <c r="D276" s="1596">
        <v>1</v>
      </c>
      <c r="E276" s="1131" t="s">
        <v>2802</v>
      </c>
      <c r="F276" s="1064">
        <f>SUM(G276:N276)</f>
        <v>354977</v>
      </c>
      <c r="G276" s="1080">
        <f t="shared" ref="G276:L276" si="137">ROUNDDOWN(G259*G275*$D276,0)</f>
        <v>354977</v>
      </c>
      <c r="H276" s="1080">
        <f t="shared" si="137"/>
        <v>0</v>
      </c>
      <c r="I276" s="1080">
        <f t="shared" si="137"/>
        <v>0</v>
      </c>
      <c r="J276" s="1080">
        <f t="shared" si="137"/>
        <v>0</v>
      </c>
      <c r="K276" s="1080">
        <f t="shared" si="137"/>
        <v>0</v>
      </c>
      <c r="L276" s="1081">
        <f t="shared" si="137"/>
        <v>0</v>
      </c>
    </row>
    <row r="277" spans="1:12" s="896" customFormat="1" ht="15" customHeight="1">
      <c r="A277" s="1578"/>
      <c r="B277" s="2802" t="s">
        <v>2741</v>
      </c>
      <c r="C277" s="1548" t="str">
        <f>+C260</f>
        <v>(3)共通仮設工事</v>
      </c>
      <c r="D277" s="1597"/>
      <c r="E277" s="1557">
        <f t="shared" ref="E277:E282" si="138">+E260</f>
        <v>0.25</v>
      </c>
      <c r="F277" s="911">
        <f t="shared" ref="F277:F282" si="139">INT((F235-F260)*0.5)</f>
        <v>53000</v>
      </c>
      <c r="G277" s="912">
        <f t="shared" ref="G277:G282" si="140">F277-SUM(H277:L277)</f>
        <v>53000</v>
      </c>
      <c r="H277" s="912">
        <f t="shared" ref="H277:L282" si="141">IF(H260=0,0,ROUND($F277/$F260*H260,0))</f>
        <v>0</v>
      </c>
      <c r="I277" s="912">
        <f t="shared" si="141"/>
        <v>0</v>
      </c>
      <c r="J277" s="912">
        <f t="shared" si="141"/>
        <v>0</v>
      </c>
      <c r="K277" s="912">
        <f t="shared" si="141"/>
        <v>0</v>
      </c>
      <c r="L277" s="913">
        <f t="shared" si="141"/>
        <v>0</v>
      </c>
    </row>
    <row r="278" spans="1:12" s="896" customFormat="1" ht="15" customHeight="1">
      <c r="A278" s="1578"/>
      <c r="B278" s="2800"/>
      <c r="C278" s="1548" t="str">
        <f>+C261</f>
        <v>(4)直接仮設工事</v>
      </c>
      <c r="D278" s="1597"/>
      <c r="E278" s="1557">
        <f t="shared" si="138"/>
        <v>0.25</v>
      </c>
      <c r="F278" s="911">
        <f t="shared" si="139"/>
        <v>50000</v>
      </c>
      <c r="G278" s="912">
        <f t="shared" si="140"/>
        <v>50000</v>
      </c>
      <c r="H278" s="912">
        <f t="shared" si="141"/>
        <v>0</v>
      </c>
      <c r="I278" s="912">
        <f t="shared" si="141"/>
        <v>0</v>
      </c>
      <c r="J278" s="912">
        <f t="shared" si="141"/>
        <v>0</v>
      </c>
      <c r="K278" s="912">
        <f t="shared" si="141"/>
        <v>0</v>
      </c>
      <c r="L278" s="913">
        <f t="shared" si="141"/>
        <v>0</v>
      </c>
    </row>
    <row r="279" spans="1:12" s="896" customFormat="1" ht="15" customHeight="1">
      <c r="A279" s="1578"/>
      <c r="B279" s="2800"/>
      <c r="C279" s="1582" t="str">
        <f>C262</f>
        <v>(5)建具工事</v>
      </c>
      <c r="D279" s="1597"/>
      <c r="E279" s="1598">
        <f t="shared" si="138"/>
        <v>0.22</v>
      </c>
      <c r="F279" s="911">
        <f t="shared" si="139"/>
        <v>495902</v>
      </c>
      <c r="G279" s="912">
        <f t="shared" si="140"/>
        <v>495902</v>
      </c>
      <c r="H279" s="912">
        <f t="shared" si="141"/>
        <v>0</v>
      </c>
      <c r="I279" s="912">
        <f t="shared" si="141"/>
        <v>0</v>
      </c>
      <c r="J279" s="912">
        <f t="shared" si="141"/>
        <v>0</v>
      </c>
      <c r="K279" s="912">
        <f t="shared" si="141"/>
        <v>0</v>
      </c>
      <c r="L279" s="913">
        <f t="shared" si="141"/>
        <v>0</v>
      </c>
    </row>
    <row r="280" spans="1:12" s="896" customFormat="1" ht="15" customHeight="1">
      <c r="A280" s="1578"/>
      <c r="B280" s="2800"/>
      <c r="C280" s="1548" t="str">
        <f>+C263</f>
        <v>(6)場内小運搬費</v>
      </c>
      <c r="D280" s="1597"/>
      <c r="E280" s="1557">
        <f t="shared" si="138"/>
        <v>0.25</v>
      </c>
      <c r="F280" s="911">
        <f t="shared" si="139"/>
        <v>0</v>
      </c>
      <c r="G280" s="912">
        <f t="shared" si="140"/>
        <v>0</v>
      </c>
      <c r="H280" s="912">
        <f t="shared" si="141"/>
        <v>0</v>
      </c>
      <c r="I280" s="912">
        <f t="shared" si="141"/>
        <v>0</v>
      </c>
      <c r="J280" s="912">
        <f t="shared" si="141"/>
        <v>0</v>
      </c>
      <c r="K280" s="912">
        <f t="shared" si="141"/>
        <v>0</v>
      </c>
      <c r="L280" s="913">
        <f t="shared" si="141"/>
        <v>0</v>
      </c>
    </row>
    <row r="281" spans="1:12" s="896" customFormat="1" ht="15" customHeight="1">
      <c r="A281" s="1578"/>
      <c r="B281" s="2800"/>
      <c r="C281" s="1548" t="str">
        <f>+C264</f>
        <v>(7)〃人力積込み費</v>
      </c>
      <c r="D281" s="1597"/>
      <c r="E281" s="1557">
        <f t="shared" si="138"/>
        <v>0.25</v>
      </c>
      <c r="F281" s="911">
        <f t="shared" si="139"/>
        <v>0</v>
      </c>
      <c r="G281" s="912">
        <f t="shared" si="140"/>
        <v>0</v>
      </c>
      <c r="H281" s="912">
        <f t="shared" si="141"/>
        <v>0</v>
      </c>
      <c r="I281" s="912">
        <f t="shared" si="141"/>
        <v>0</v>
      </c>
      <c r="J281" s="912">
        <f t="shared" si="141"/>
        <v>0</v>
      </c>
      <c r="K281" s="912">
        <f t="shared" si="141"/>
        <v>0</v>
      </c>
      <c r="L281" s="913">
        <f t="shared" si="141"/>
        <v>0</v>
      </c>
    </row>
    <row r="282" spans="1:12" s="896" customFormat="1" ht="15" customHeight="1">
      <c r="A282" s="1578"/>
      <c r="B282" s="2800"/>
      <c r="C282" s="1548" t="str">
        <f>+C265</f>
        <v>(8)〃搬出準備費</v>
      </c>
      <c r="D282" s="1597"/>
      <c r="E282" s="1557">
        <f t="shared" si="138"/>
        <v>0.25</v>
      </c>
      <c r="F282" s="911">
        <f t="shared" si="139"/>
        <v>0</v>
      </c>
      <c r="G282" s="912">
        <f t="shared" si="140"/>
        <v>0</v>
      </c>
      <c r="H282" s="912">
        <f t="shared" si="141"/>
        <v>0</v>
      </c>
      <c r="I282" s="912">
        <f t="shared" si="141"/>
        <v>0</v>
      </c>
      <c r="J282" s="912">
        <f t="shared" si="141"/>
        <v>0</v>
      </c>
      <c r="K282" s="912">
        <f t="shared" si="141"/>
        <v>0</v>
      </c>
      <c r="L282" s="913">
        <f t="shared" si="141"/>
        <v>0</v>
      </c>
    </row>
    <row r="283" spans="1:12" s="896" customFormat="1" ht="15" customHeight="1">
      <c r="A283" s="1578"/>
      <c r="B283" s="2800"/>
      <c r="C283" s="1548"/>
      <c r="D283" s="1597"/>
      <c r="E283" s="1599"/>
      <c r="F283" s="911"/>
      <c r="G283" s="912"/>
      <c r="H283" s="912"/>
      <c r="I283" s="912"/>
      <c r="J283" s="912"/>
      <c r="K283" s="912"/>
      <c r="L283" s="913"/>
    </row>
    <row r="284" spans="1:12" s="896" customFormat="1" ht="15" customHeight="1">
      <c r="A284" s="1578"/>
      <c r="B284" s="2803"/>
      <c r="C284" s="1548"/>
      <c r="D284" s="1597"/>
      <c r="E284" s="1557"/>
      <c r="F284" s="911"/>
      <c r="G284" s="912"/>
      <c r="H284" s="912"/>
      <c r="I284" s="912"/>
      <c r="J284" s="912"/>
      <c r="K284" s="912"/>
      <c r="L284" s="913"/>
    </row>
    <row r="285" spans="1:12" s="896" customFormat="1" ht="15" customHeight="1">
      <c r="A285" s="1578"/>
      <c r="B285" s="2802" t="s">
        <v>477</v>
      </c>
      <c r="C285" s="1548" t="s">
        <v>2776</v>
      </c>
      <c r="D285" s="1597"/>
      <c r="E285" s="1557">
        <f>+E268</f>
        <v>0.02</v>
      </c>
      <c r="F285" s="911">
        <f>INT(F268*E285)</f>
        <v>0</v>
      </c>
      <c r="G285" s="912">
        <f>F285-SUM(H285:L285)</f>
        <v>0</v>
      </c>
      <c r="H285" s="912">
        <f t="shared" ref="H285:L287" si="142">IF(H268=0,0,ROUND($F285/$F268*H268,0))</f>
        <v>0</v>
      </c>
      <c r="I285" s="912">
        <f t="shared" si="142"/>
        <v>0</v>
      </c>
      <c r="J285" s="912">
        <f t="shared" si="142"/>
        <v>0</v>
      </c>
      <c r="K285" s="912">
        <f t="shared" si="142"/>
        <v>0</v>
      </c>
      <c r="L285" s="913">
        <f t="shared" si="142"/>
        <v>0</v>
      </c>
    </row>
    <row r="286" spans="1:12" s="896" customFormat="1" ht="15" customHeight="1">
      <c r="A286" s="1578"/>
      <c r="B286" s="2800"/>
      <c r="C286" s="1558" t="s">
        <v>2796</v>
      </c>
      <c r="D286" s="1597"/>
      <c r="E286" s="1557">
        <f>+E269</f>
        <v>0.02</v>
      </c>
      <c r="F286" s="911">
        <f>INT(F269*E286)</f>
        <v>0</v>
      </c>
      <c r="G286" s="912">
        <f>F286-SUM(H286:L286)</f>
        <v>0</v>
      </c>
      <c r="H286" s="912">
        <f t="shared" si="142"/>
        <v>0</v>
      </c>
      <c r="I286" s="912">
        <f t="shared" si="142"/>
        <v>0</v>
      </c>
      <c r="J286" s="912">
        <f t="shared" si="142"/>
        <v>0</v>
      </c>
      <c r="K286" s="912">
        <f t="shared" si="142"/>
        <v>0</v>
      </c>
      <c r="L286" s="913">
        <f t="shared" si="142"/>
        <v>0</v>
      </c>
    </row>
    <row r="287" spans="1:12" s="896" customFormat="1" ht="15" customHeight="1">
      <c r="A287" s="1578"/>
      <c r="B287" s="2803"/>
      <c r="C287" s="1558" t="s">
        <v>2804</v>
      </c>
      <c r="D287" s="1597"/>
      <c r="E287" s="1557">
        <f>+E270</f>
        <v>0.02</v>
      </c>
      <c r="F287" s="911">
        <f>INT(F270*E287)</f>
        <v>0</v>
      </c>
      <c r="G287" s="912">
        <f>F287-SUM(H287:L287)</f>
        <v>0</v>
      </c>
      <c r="H287" s="912">
        <f t="shared" si="142"/>
        <v>0</v>
      </c>
      <c r="I287" s="912">
        <f t="shared" si="142"/>
        <v>0</v>
      </c>
      <c r="J287" s="912">
        <f t="shared" si="142"/>
        <v>0</v>
      </c>
      <c r="K287" s="912">
        <f t="shared" si="142"/>
        <v>0</v>
      </c>
      <c r="L287" s="913">
        <f t="shared" si="142"/>
        <v>0</v>
      </c>
    </row>
    <row r="288" spans="1:12" s="896" customFormat="1" ht="14.25" customHeight="1">
      <c r="A288" s="1578"/>
      <c r="B288" s="1600" t="s">
        <v>2573</v>
      </c>
      <c r="C288" s="1701" t="s">
        <v>2805</v>
      </c>
      <c r="D288" s="1602"/>
      <c r="E288" s="1557"/>
      <c r="F288" s="911">
        <f>SUM(G288:M288)</f>
        <v>0</v>
      </c>
      <c r="G288" s="1302">
        <f t="shared" ref="G288:L288" si="143">+G143+G42</f>
        <v>0</v>
      </c>
      <c r="H288" s="1302">
        <f t="shared" si="143"/>
        <v>0</v>
      </c>
      <c r="I288" s="1302">
        <f t="shared" si="143"/>
        <v>0</v>
      </c>
      <c r="J288" s="1302">
        <f t="shared" si="143"/>
        <v>0</v>
      </c>
      <c r="K288" s="1302">
        <f t="shared" si="143"/>
        <v>0</v>
      </c>
      <c r="L288" s="1303">
        <f t="shared" si="143"/>
        <v>0</v>
      </c>
    </row>
    <row r="289" spans="1:12" s="896" customFormat="1" ht="14.25" customHeight="1">
      <c r="A289" s="1578"/>
      <c r="B289" s="1603" t="s">
        <v>2575</v>
      </c>
      <c r="C289" s="1221" t="s">
        <v>2806</v>
      </c>
      <c r="D289" s="1602"/>
      <c r="E289" s="1557"/>
      <c r="F289" s="911"/>
      <c r="G289" s="912"/>
      <c r="H289" s="912"/>
      <c r="I289" s="912"/>
      <c r="J289" s="912"/>
      <c r="K289" s="912"/>
      <c r="L289" s="913"/>
    </row>
    <row r="290" spans="1:12" s="896" customFormat="1" ht="15" customHeight="1">
      <c r="A290" s="1578"/>
      <c r="B290" s="1605" t="s">
        <v>2644</v>
      </c>
      <c r="C290" s="1606" t="s">
        <v>2807</v>
      </c>
      <c r="D290" s="1607"/>
      <c r="E290" s="1608">
        <f>+E271</f>
        <v>0</v>
      </c>
      <c r="F290" s="911">
        <f>INT(F271*E290)</f>
        <v>0</v>
      </c>
      <c r="G290" s="912">
        <f>F290-SUM(H290:L290)</f>
        <v>0</v>
      </c>
      <c r="H290" s="912">
        <f>IF(H271=0,0,ROUND($F290/$F271*H271,0))</f>
        <v>0</v>
      </c>
      <c r="I290" s="912">
        <f>IF(I271=0,0,ROUND($F290/$F271*I271,0))</f>
        <v>0</v>
      </c>
      <c r="J290" s="912">
        <f>IF(J271=0,0,ROUND($F290/$F271*J271,0))</f>
        <v>0</v>
      </c>
      <c r="K290" s="912">
        <f>IF(K271=0,0,ROUND($F290/$F271*K271,0))</f>
        <v>0</v>
      </c>
      <c r="L290" s="913">
        <f>IF(L271=0,0,ROUND($F290/$F271*L271,0))</f>
        <v>0</v>
      </c>
    </row>
    <row r="291" spans="1:12" s="896" customFormat="1" ht="15" customHeight="1" thickBot="1">
      <c r="A291" s="1609"/>
      <c r="B291" s="1610"/>
      <c r="C291" s="1611"/>
      <c r="D291" s="1612"/>
      <c r="E291" s="1608"/>
      <c r="F291" s="1144"/>
      <c r="G291" s="912"/>
      <c r="H291" s="1228"/>
      <c r="I291" s="1228"/>
      <c r="J291" s="1228"/>
      <c r="K291" s="1228"/>
      <c r="L291" s="1229"/>
    </row>
    <row r="292" spans="1:12" s="896" customFormat="1" ht="15" customHeight="1" thickTop="1">
      <c r="A292" s="1613"/>
      <c r="B292" s="1614"/>
      <c r="C292" s="1615" t="s">
        <v>2664</v>
      </c>
      <c r="D292" s="1616"/>
      <c r="E292" s="1617"/>
      <c r="F292" s="1169">
        <f>SUM(F273:F291)</f>
        <v>953879</v>
      </c>
      <c r="G292" s="1169">
        <f t="shared" ref="G292:L292" si="144">SUM(G276:G291)+G274</f>
        <v>953879</v>
      </c>
      <c r="H292" s="1169">
        <f t="shared" si="144"/>
        <v>0</v>
      </c>
      <c r="I292" s="1169">
        <f t="shared" si="144"/>
        <v>0</v>
      </c>
      <c r="J292" s="1169">
        <f t="shared" si="144"/>
        <v>0</v>
      </c>
      <c r="K292" s="1169">
        <f t="shared" si="144"/>
        <v>0</v>
      </c>
      <c r="L292" s="1170">
        <f t="shared" si="144"/>
        <v>0</v>
      </c>
    </row>
    <row r="293" spans="1:12" s="896" customFormat="1" ht="15" customHeight="1">
      <c r="A293" s="1618"/>
      <c r="B293" s="1619"/>
      <c r="C293" s="1620" t="s">
        <v>2665</v>
      </c>
      <c r="D293" s="1621"/>
      <c r="E293" s="1622"/>
      <c r="F293" s="946">
        <f>SUM(G293:L293)</f>
        <v>7856075</v>
      </c>
      <c r="G293" s="1073">
        <f t="shared" ref="G293:L293" si="145">+G216+G292</f>
        <v>7856075</v>
      </c>
      <c r="H293" s="1073">
        <f t="shared" si="145"/>
        <v>0</v>
      </c>
      <c r="I293" s="1073">
        <f t="shared" si="145"/>
        <v>0</v>
      </c>
      <c r="J293" s="1073">
        <f t="shared" si="145"/>
        <v>0</v>
      </c>
      <c r="K293" s="1073">
        <f t="shared" si="145"/>
        <v>0</v>
      </c>
      <c r="L293" s="1074">
        <f t="shared" si="145"/>
        <v>0</v>
      </c>
    </row>
    <row r="294" spans="1:12" s="896" customFormat="1" ht="15" customHeight="1">
      <c r="A294" s="1043"/>
      <c r="B294" s="1043"/>
      <c r="C294" s="1565" t="s">
        <v>2728</v>
      </c>
      <c r="D294" s="808"/>
      <c r="E294" s="1042"/>
      <c r="F294" s="1042"/>
      <c r="G294" s="1100"/>
      <c r="H294" s="1046"/>
      <c r="I294" s="1046"/>
      <c r="J294" s="1046"/>
      <c r="K294" s="1046"/>
      <c r="L294" s="1100" t="s">
        <v>2834</v>
      </c>
    </row>
    <row r="295" spans="1:12" s="896" customFormat="1" ht="15" customHeight="1">
      <c r="A295" s="1043"/>
      <c r="B295" s="1043"/>
      <c r="C295" s="1043"/>
      <c r="D295" s="1043"/>
      <c r="E295" s="1043"/>
      <c r="F295" s="1043"/>
      <c r="G295" s="1046"/>
      <c r="H295" s="1046"/>
      <c r="I295" s="1046"/>
      <c r="J295" s="1046"/>
      <c r="K295" s="1046"/>
      <c r="L295" s="1046"/>
    </row>
    <row r="296" spans="1:12" s="896" customFormat="1" ht="15" customHeight="1">
      <c r="A296" s="2804"/>
      <c r="B296" s="2805"/>
      <c r="C296" s="2805"/>
      <c r="D296" s="1623"/>
      <c r="E296" s="1092" t="s">
        <v>2668</v>
      </c>
      <c r="F296" s="1092" t="s">
        <v>2517</v>
      </c>
      <c r="G296" s="1093" t="str">
        <f t="shared" ref="G296:L296" si="146">+G211</f>
        <v>◇◇◇改造工事の部</v>
      </c>
      <c r="H296" s="1093" t="str">
        <f t="shared" si="146"/>
        <v>◇◇◇改造工事の部</v>
      </c>
      <c r="I296" s="1093" t="str">
        <f t="shared" si="146"/>
        <v>◇◇◇改造工事の部</v>
      </c>
      <c r="J296" s="1093" t="str">
        <f t="shared" si="146"/>
        <v>◇◇◇改造工事の部</v>
      </c>
      <c r="K296" s="1093" t="str">
        <f t="shared" si="146"/>
        <v>◇◇◇改造工事の部</v>
      </c>
      <c r="L296" s="1315" t="str">
        <f t="shared" si="146"/>
        <v>◇◇◇改造工事の部</v>
      </c>
    </row>
    <row r="297" spans="1:12" s="896" customFormat="1" ht="15" customHeight="1">
      <c r="A297" s="2806"/>
      <c r="B297" s="2807"/>
      <c r="C297" s="2807"/>
      <c r="D297" s="1176"/>
      <c r="E297" s="933"/>
      <c r="F297" s="1624"/>
      <c r="G297" s="1178"/>
      <c r="H297" s="1178"/>
      <c r="I297" s="1178"/>
      <c r="J297" s="1178"/>
      <c r="K297" s="1178"/>
      <c r="L297" s="1702"/>
    </row>
    <row r="298" spans="1:12" s="896" customFormat="1" ht="15" customHeight="1">
      <c r="A298" s="1625"/>
      <c r="B298" s="1626"/>
      <c r="C298" s="1627" t="s">
        <v>2809</v>
      </c>
      <c r="D298" s="1628"/>
      <c r="E298" s="1629"/>
      <c r="F298" s="907">
        <f t="shared" ref="F298:L298" si="147">+F293</f>
        <v>7856075</v>
      </c>
      <c r="G298" s="907">
        <f t="shared" si="147"/>
        <v>7856075</v>
      </c>
      <c r="H298" s="907">
        <f t="shared" si="147"/>
        <v>0</v>
      </c>
      <c r="I298" s="907">
        <f t="shared" si="147"/>
        <v>0</v>
      </c>
      <c r="J298" s="907">
        <f t="shared" si="147"/>
        <v>0</v>
      </c>
      <c r="K298" s="907">
        <f t="shared" si="147"/>
        <v>0</v>
      </c>
      <c r="L298" s="1703">
        <f t="shared" si="147"/>
        <v>0</v>
      </c>
    </row>
    <row r="299" spans="1:12" s="896" customFormat="1" ht="15" customHeight="1">
      <c r="A299" s="1630"/>
      <c r="B299" s="1631"/>
      <c r="C299" s="1632"/>
      <c r="D299" s="1633"/>
      <c r="E299" s="1634" t="s">
        <v>2810</v>
      </c>
      <c r="F299" s="911">
        <f>SUM(G299:L299)</f>
        <v>1924977</v>
      </c>
      <c r="G299" s="912">
        <f t="shared" ref="G299:L299" si="148">G257+SUM(G285:G290)+G250+G251+G276</f>
        <v>1924977</v>
      </c>
      <c r="H299" s="912">
        <f t="shared" si="148"/>
        <v>0</v>
      </c>
      <c r="I299" s="912">
        <f t="shared" si="148"/>
        <v>0</v>
      </c>
      <c r="J299" s="912">
        <f t="shared" si="148"/>
        <v>0</v>
      </c>
      <c r="K299" s="912">
        <f t="shared" si="148"/>
        <v>0</v>
      </c>
      <c r="L299" s="913">
        <f t="shared" si="148"/>
        <v>0</v>
      </c>
    </row>
    <row r="300" spans="1:12" s="896" customFormat="1" ht="15" customHeight="1">
      <c r="A300" s="1618"/>
      <c r="B300" s="1619"/>
      <c r="C300" s="1635"/>
      <c r="D300" s="1621"/>
      <c r="E300" s="1636"/>
      <c r="F300" s="946"/>
      <c r="G300" s="1073"/>
      <c r="H300" s="1073"/>
      <c r="I300" s="1073"/>
      <c r="J300" s="1073"/>
      <c r="K300" s="1073"/>
      <c r="L300" s="1704"/>
    </row>
    <row r="301" spans="1:12" s="896" customFormat="1" ht="15" customHeight="1">
      <c r="A301" s="1567"/>
      <c r="B301" s="1568"/>
      <c r="C301" s="1568"/>
      <c r="D301" s="1637"/>
      <c r="E301" s="1629" t="str">
        <f>E211</f>
        <v>無し</v>
      </c>
      <c r="F301" s="2812" t="s">
        <v>2672</v>
      </c>
      <c r="G301" s="2812"/>
      <c r="H301" s="1077"/>
      <c r="I301" s="1077"/>
      <c r="J301" s="1077"/>
      <c r="K301" s="1077"/>
      <c r="L301" s="1705"/>
    </row>
    <row r="302" spans="1:12" s="896" customFormat="1" ht="15" customHeight="1">
      <c r="A302" s="2810" t="s">
        <v>2673</v>
      </c>
      <c r="B302" s="2810"/>
      <c r="C302" s="2813"/>
      <c r="D302" s="1638"/>
      <c r="E302" s="1636" t="str">
        <f>+E212</f>
        <v>有り</v>
      </c>
      <c r="F302" s="2814" t="s">
        <v>2674</v>
      </c>
      <c r="G302" s="2814"/>
      <c r="H302" s="1073"/>
      <c r="I302" s="1073"/>
      <c r="J302" s="1073"/>
      <c r="K302" s="1073"/>
      <c r="L302" s="1704"/>
    </row>
    <row r="303" spans="1:12" s="896" customFormat="1" ht="15" customHeight="1">
      <c r="A303" s="2808"/>
      <c r="B303" s="1639" t="s">
        <v>161</v>
      </c>
      <c r="C303" s="1640" t="s">
        <v>2811</v>
      </c>
      <c r="D303" s="1641"/>
      <c r="E303" s="1642">
        <f>G352/100</f>
        <v>0.1724</v>
      </c>
      <c r="F303" s="907">
        <f>SUM(G303:L303)</f>
        <v>1924977</v>
      </c>
      <c r="G303" s="1077">
        <f t="shared" ref="G303:L303" si="149">+G298-SUM(G307:G308)</f>
        <v>1924977</v>
      </c>
      <c r="H303" s="1077">
        <f t="shared" si="149"/>
        <v>0</v>
      </c>
      <c r="I303" s="1077">
        <f t="shared" si="149"/>
        <v>0</v>
      </c>
      <c r="J303" s="1077">
        <f t="shared" si="149"/>
        <v>0</v>
      </c>
      <c r="K303" s="1077">
        <f t="shared" si="149"/>
        <v>0</v>
      </c>
      <c r="L303" s="1078">
        <f t="shared" si="149"/>
        <v>0</v>
      </c>
    </row>
    <row r="304" spans="1:12" s="896" customFormat="1" ht="15" customHeight="1">
      <c r="A304" s="2809"/>
      <c r="B304" s="2797" t="s">
        <v>2676</v>
      </c>
      <c r="C304" s="1643" t="s">
        <v>2677</v>
      </c>
      <c r="D304" s="1602"/>
      <c r="E304" s="1644">
        <f>IF(E301="無し",0.05,0)</f>
        <v>0.05</v>
      </c>
      <c r="F304" s="911">
        <f>SUM(G304:L304)</f>
        <v>930768</v>
      </c>
      <c r="G304" s="912">
        <f t="shared" ref="G304:L304" si="150">+G313+SUM(G317:G320)</f>
        <v>930768</v>
      </c>
      <c r="H304" s="912">
        <f t="shared" si="150"/>
        <v>0</v>
      </c>
      <c r="I304" s="912">
        <f t="shared" si="150"/>
        <v>0</v>
      </c>
      <c r="J304" s="912">
        <f t="shared" si="150"/>
        <v>0</v>
      </c>
      <c r="K304" s="912">
        <f t="shared" si="150"/>
        <v>0</v>
      </c>
      <c r="L304" s="913">
        <f t="shared" si="150"/>
        <v>0</v>
      </c>
    </row>
    <row r="305" spans="1:12" s="896" customFormat="1" ht="15" customHeight="1">
      <c r="A305" s="2809"/>
      <c r="B305" s="2797"/>
      <c r="C305" s="1643" t="s">
        <v>2678</v>
      </c>
      <c r="D305" s="1645"/>
      <c r="E305" s="1557">
        <f>IF(E302="無し",0,0.0004)</f>
        <v>4.0000000000000002E-4</v>
      </c>
      <c r="F305" s="911">
        <f>SUM(G305:L305)</f>
        <v>7856075</v>
      </c>
      <c r="G305" s="912">
        <f t="shared" ref="G305:L305" si="151">+G298</f>
        <v>7856075</v>
      </c>
      <c r="H305" s="912">
        <f t="shared" si="151"/>
        <v>0</v>
      </c>
      <c r="I305" s="912">
        <f t="shared" si="151"/>
        <v>0</v>
      </c>
      <c r="J305" s="912">
        <f t="shared" si="151"/>
        <v>0</v>
      </c>
      <c r="K305" s="912">
        <f t="shared" si="151"/>
        <v>0</v>
      </c>
      <c r="L305" s="913">
        <f t="shared" si="151"/>
        <v>0</v>
      </c>
    </row>
    <row r="306" spans="1:12" s="896" customFormat="1" ht="15" customHeight="1">
      <c r="A306" s="2809"/>
      <c r="B306" s="2795" t="s">
        <v>2812</v>
      </c>
      <c r="C306" s="1643"/>
      <c r="D306" s="1646"/>
      <c r="E306" s="1646"/>
      <c r="F306" s="911"/>
      <c r="G306" s="912"/>
      <c r="H306" s="912"/>
      <c r="I306" s="912"/>
      <c r="J306" s="912"/>
      <c r="K306" s="912"/>
      <c r="L306" s="913"/>
    </row>
    <row r="307" spans="1:12" s="896" customFormat="1" ht="15" customHeight="1">
      <c r="A307" s="2809"/>
      <c r="B307" s="2796"/>
      <c r="C307" s="1647" t="s">
        <v>2813</v>
      </c>
      <c r="D307" s="1646"/>
      <c r="E307" s="1646"/>
      <c r="F307" s="911">
        <f>SUM(G307:L307)</f>
        <v>5931098</v>
      </c>
      <c r="G307" s="912">
        <f t="shared" ref="G307:L307" si="152">+SUM(G260:G267,G277:G284)</f>
        <v>5931098</v>
      </c>
      <c r="H307" s="912">
        <f t="shared" si="152"/>
        <v>0</v>
      </c>
      <c r="I307" s="912">
        <f t="shared" si="152"/>
        <v>0</v>
      </c>
      <c r="J307" s="912">
        <f t="shared" si="152"/>
        <v>0</v>
      </c>
      <c r="K307" s="912">
        <f t="shared" si="152"/>
        <v>0</v>
      </c>
      <c r="L307" s="913">
        <f t="shared" si="152"/>
        <v>0</v>
      </c>
    </row>
    <row r="308" spans="1:12" s="896" customFormat="1" ht="15" customHeight="1">
      <c r="A308" s="2809"/>
      <c r="B308" s="2797" t="s">
        <v>2679</v>
      </c>
      <c r="C308" s="1204" t="s">
        <v>2814</v>
      </c>
      <c r="D308" s="1648"/>
      <c r="E308" s="1599">
        <v>0</v>
      </c>
      <c r="F308" s="911">
        <f>SUM(G308:L308)</f>
        <v>0</v>
      </c>
      <c r="G308" s="912">
        <f t="shared" ref="G308:L308" si="153">+G252</f>
        <v>0</v>
      </c>
      <c r="H308" s="912">
        <f t="shared" si="153"/>
        <v>0</v>
      </c>
      <c r="I308" s="912">
        <f t="shared" si="153"/>
        <v>0</v>
      </c>
      <c r="J308" s="912">
        <f t="shared" si="153"/>
        <v>0</v>
      </c>
      <c r="K308" s="912">
        <f t="shared" si="153"/>
        <v>0</v>
      </c>
      <c r="L308" s="913">
        <f t="shared" si="153"/>
        <v>0</v>
      </c>
    </row>
    <row r="309" spans="1:12" s="896" customFormat="1" ht="15" customHeight="1">
      <c r="A309" s="2809"/>
      <c r="B309" s="2797"/>
      <c r="C309" s="1633"/>
      <c r="D309" s="1649"/>
      <c r="E309" s="1599"/>
      <c r="F309" s="911"/>
      <c r="G309" s="912"/>
      <c r="H309" s="912"/>
      <c r="I309" s="912"/>
      <c r="J309" s="912"/>
      <c r="K309" s="912"/>
      <c r="L309" s="1671"/>
    </row>
    <row r="310" spans="1:12" s="896" customFormat="1" ht="15" customHeight="1">
      <c r="A310" s="2809"/>
      <c r="B310" s="2795"/>
      <c r="C310" s="1650"/>
      <c r="D310" s="1651"/>
      <c r="E310" s="1652"/>
      <c r="F310" s="946"/>
      <c r="G310" s="1073"/>
      <c r="H310" s="1073"/>
      <c r="I310" s="1073"/>
      <c r="J310" s="1073"/>
      <c r="K310" s="1073"/>
      <c r="L310" s="1704"/>
    </row>
    <row r="311" spans="1:12" s="896" customFormat="1" ht="15" customHeight="1">
      <c r="A311" s="1567"/>
      <c r="B311" s="1568"/>
      <c r="C311" s="1653"/>
      <c r="D311" s="1654"/>
      <c r="E311" s="1655"/>
      <c r="F311" s="907"/>
      <c r="G311" s="1077"/>
      <c r="H311" s="1077"/>
      <c r="I311" s="1077"/>
      <c r="J311" s="1077"/>
      <c r="K311" s="1077"/>
      <c r="L311" s="1705"/>
    </row>
    <row r="312" spans="1:12" s="896" customFormat="1" ht="15" customHeight="1">
      <c r="A312" s="2810" t="s">
        <v>2680</v>
      </c>
      <c r="B312" s="2810"/>
      <c r="C312" s="2811"/>
      <c r="D312" s="1656"/>
      <c r="E312" s="1657"/>
      <c r="F312" s="946"/>
      <c r="G312" s="1073"/>
      <c r="H312" s="1073"/>
      <c r="I312" s="1073"/>
      <c r="J312" s="1073"/>
      <c r="K312" s="1073"/>
      <c r="L312" s="1704"/>
    </row>
    <row r="313" spans="1:12" s="896" customFormat="1" ht="15" customHeight="1">
      <c r="A313" s="1658"/>
      <c r="B313" s="1057" t="s">
        <v>161</v>
      </c>
      <c r="C313" s="1659" t="s">
        <v>2815</v>
      </c>
      <c r="D313" s="1641"/>
      <c r="E313" s="1660">
        <f>+E303</f>
        <v>0.1724</v>
      </c>
      <c r="F313" s="907">
        <f>INT(F303*E313)</f>
        <v>331866</v>
      </c>
      <c r="G313" s="1077">
        <f>F313-SUM(H313:L313)</f>
        <v>331866</v>
      </c>
      <c r="H313" s="1077">
        <f t="shared" ref="H313:L315" si="154">IF(H303=0,0,ROUND($F313/$F303*H303,0))</f>
        <v>0</v>
      </c>
      <c r="I313" s="1077">
        <f t="shared" si="154"/>
        <v>0</v>
      </c>
      <c r="J313" s="1077">
        <f t="shared" si="154"/>
        <v>0</v>
      </c>
      <c r="K313" s="1077">
        <f t="shared" si="154"/>
        <v>0</v>
      </c>
      <c r="L313" s="1078">
        <f t="shared" si="154"/>
        <v>0</v>
      </c>
    </row>
    <row r="314" spans="1:12" s="896" customFormat="1" ht="15" customHeight="1">
      <c r="A314" s="1658"/>
      <c r="B314" s="2797" t="s">
        <v>2676</v>
      </c>
      <c r="C314" s="1643" t="s">
        <v>2677</v>
      </c>
      <c r="D314" s="1648"/>
      <c r="E314" s="1557">
        <f>+E304</f>
        <v>0.05</v>
      </c>
      <c r="F314" s="911">
        <f>INT(F304*E314)</f>
        <v>46538</v>
      </c>
      <c r="G314" s="912">
        <f>F314-SUM(H314:L314)</f>
        <v>46538</v>
      </c>
      <c r="H314" s="912">
        <f t="shared" si="154"/>
        <v>0</v>
      </c>
      <c r="I314" s="912">
        <f t="shared" si="154"/>
        <v>0</v>
      </c>
      <c r="J314" s="912">
        <f t="shared" si="154"/>
        <v>0</v>
      </c>
      <c r="K314" s="912">
        <f t="shared" si="154"/>
        <v>0</v>
      </c>
      <c r="L314" s="913">
        <f t="shared" si="154"/>
        <v>0</v>
      </c>
    </row>
    <row r="315" spans="1:12" s="896" customFormat="1" ht="15" customHeight="1">
      <c r="A315" s="1658"/>
      <c r="B315" s="2797"/>
      <c r="C315" s="1643" t="s">
        <v>2678</v>
      </c>
      <c r="D315" s="1648"/>
      <c r="E315" s="1557">
        <f>+E305</f>
        <v>4.0000000000000002E-4</v>
      </c>
      <c r="F315" s="911">
        <f>INT(F305*E315)</f>
        <v>3142</v>
      </c>
      <c r="G315" s="912">
        <f>F315-SUM(H315:L315)</f>
        <v>3142</v>
      </c>
      <c r="H315" s="912">
        <f t="shared" si="154"/>
        <v>0</v>
      </c>
      <c r="I315" s="912">
        <f t="shared" si="154"/>
        <v>0</v>
      </c>
      <c r="J315" s="912">
        <f t="shared" si="154"/>
        <v>0</v>
      </c>
      <c r="K315" s="912">
        <f t="shared" si="154"/>
        <v>0</v>
      </c>
      <c r="L315" s="913">
        <f t="shared" si="154"/>
        <v>0</v>
      </c>
    </row>
    <row r="316" spans="1:12" s="896" customFormat="1" ht="15" customHeight="1">
      <c r="A316" s="1658"/>
      <c r="B316" s="2795" t="s">
        <v>2812</v>
      </c>
      <c r="C316" s="1643"/>
      <c r="D316" s="1646"/>
      <c r="E316" s="1661" t="s">
        <v>2816</v>
      </c>
      <c r="F316" s="911"/>
      <c r="G316" s="912"/>
      <c r="H316" s="912"/>
      <c r="I316" s="912"/>
      <c r="J316" s="912"/>
      <c r="K316" s="912"/>
      <c r="L316" s="1671"/>
    </row>
    <row r="317" spans="1:12" s="896" customFormat="1" ht="15" customHeight="1">
      <c r="A317" s="1658"/>
      <c r="B317" s="2796"/>
      <c r="C317" s="1647" t="s">
        <v>2813</v>
      </c>
      <c r="D317" s="1646"/>
      <c r="E317" s="1646"/>
      <c r="F317" s="911">
        <f>SUM(G317:L317)</f>
        <v>598902</v>
      </c>
      <c r="G317" s="912">
        <f t="shared" ref="G317:L317" si="155">SUM(G235:G242)-SUM(G260:G267)-SUM(G277:G284)</f>
        <v>598902</v>
      </c>
      <c r="H317" s="912">
        <f t="shared" si="155"/>
        <v>0</v>
      </c>
      <c r="I317" s="912">
        <f t="shared" si="155"/>
        <v>0</v>
      </c>
      <c r="J317" s="912">
        <f t="shared" si="155"/>
        <v>0</v>
      </c>
      <c r="K317" s="912">
        <f t="shared" si="155"/>
        <v>0</v>
      </c>
      <c r="L317" s="913">
        <f t="shared" si="155"/>
        <v>0</v>
      </c>
    </row>
    <row r="318" spans="1:12" s="896" customFormat="1" ht="15" customHeight="1">
      <c r="A318" s="1658"/>
      <c r="B318" s="2797" t="s">
        <v>2679</v>
      </c>
      <c r="C318" s="1204" t="s">
        <v>2814</v>
      </c>
      <c r="D318" s="1648"/>
      <c r="E318" s="1557">
        <f>+E308</f>
        <v>0</v>
      </c>
      <c r="F318" s="911">
        <f>SUM(G318:L318)</f>
        <v>0</v>
      </c>
      <c r="G318" s="912">
        <f t="shared" ref="G318:L318" si="156">ROUNDDOWN($E318*$D318*G308,0)</f>
        <v>0</v>
      </c>
      <c r="H318" s="912">
        <f t="shared" si="156"/>
        <v>0</v>
      </c>
      <c r="I318" s="912">
        <f t="shared" si="156"/>
        <v>0</v>
      </c>
      <c r="J318" s="912">
        <f t="shared" si="156"/>
        <v>0</v>
      </c>
      <c r="K318" s="912">
        <f t="shared" si="156"/>
        <v>0</v>
      </c>
      <c r="L318" s="1671">
        <f t="shared" si="156"/>
        <v>0</v>
      </c>
    </row>
    <row r="319" spans="1:12" s="896" customFormat="1" ht="15" customHeight="1">
      <c r="A319" s="1658"/>
      <c r="B319" s="2797"/>
      <c r="C319" s="1633"/>
      <c r="D319" s="1649"/>
      <c r="E319" s="1646">
        <f>+G310</f>
        <v>0</v>
      </c>
      <c r="F319" s="911"/>
      <c r="G319" s="912"/>
      <c r="H319" s="912"/>
      <c r="I319" s="912"/>
      <c r="J319" s="912"/>
      <c r="K319" s="912"/>
      <c r="L319" s="1671"/>
    </row>
    <row r="320" spans="1:12" s="896" customFormat="1" ht="15" customHeight="1">
      <c r="A320" s="1662"/>
      <c r="B320" s="2798"/>
      <c r="C320" s="1621"/>
      <c r="D320" s="1651"/>
      <c r="E320" s="1657">
        <f>+G311</f>
        <v>0</v>
      </c>
      <c r="F320" s="946"/>
      <c r="G320" s="1073"/>
      <c r="H320" s="1073"/>
      <c r="I320" s="1073"/>
      <c r="J320" s="1073"/>
      <c r="K320" s="1073"/>
      <c r="L320" s="1704"/>
    </row>
    <row r="321" spans="1:12" s="896" customFormat="1" ht="15" customHeight="1">
      <c r="A321" s="1625"/>
      <c r="B321" s="1626"/>
      <c r="C321" s="1626"/>
      <c r="D321" s="1663"/>
      <c r="E321" s="1663"/>
      <c r="F321" s="907"/>
      <c r="G321" s="1077"/>
      <c r="H321" s="1077"/>
      <c r="I321" s="1077"/>
      <c r="J321" s="1077"/>
      <c r="K321" s="1077"/>
      <c r="L321" s="1705"/>
    </row>
    <row r="322" spans="1:12" s="896" customFormat="1" ht="15" customHeight="1">
      <c r="A322" s="1630"/>
      <c r="B322" s="1631"/>
      <c r="C322" s="1664" t="s">
        <v>2684</v>
      </c>
      <c r="D322" s="1633"/>
      <c r="E322" s="1643"/>
      <c r="F322" s="911">
        <f>SUM(G322:L322)</f>
        <v>980448</v>
      </c>
      <c r="G322" s="912">
        <f t="shared" ref="G322:L322" si="157">SUM(G313:G320)</f>
        <v>980448</v>
      </c>
      <c r="H322" s="912">
        <f t="shared" si="157"/>
        <v>0</v>
      </c>
      <c r="I322" s="912">
        <f t="shared" si="157"/>
        <v>0</v>
      </c>
      <c r="J322" s="912">
        <f t="shared" si="157"/>
        <v>0</v>
      </c>
      <c r="K322" s="912">
        <f t="shared" si="157"/>
        <v>0</v>
      </c>
      <c r="L322" s="1671">
        <f t="shared" si="157"/>
        <v>0</v>
      </c>
    </row>
    <row r="323" spans="1:12" s="896" customFormat="1" ht="15" customHeight="1">
      <c r="A323" s="1630"/>
      <c r="B323" s="1631"/>
      <c r="C323" s="1664" t="s">
        <v>2665</v>
      </c>
      <c r="D323" s="1633"/>
      <c r="E323" s="1643"/>
      <c r="F323" s="911">
        <f>SUM(G323:L323)</f>
        <v>7856075</v>
      </c>
      <c r="G323" s="912">
        <f t="shared" ref="G323:L323" si="158">+G298</f>
        <v>7856075</v>
      </c>
      <c r="H323" s="912">
        <f t="shared" si="158"/>
        <v>0</v>
      </c>
      <c r="I323" s="912">
        <f t="shared" si="158"/>
        <v>0</v>
      </c>
      <c r="J323" s="912">
        <f t="shared" si="158"/>
        <v>0</v>
      </c>
      <c r="K323" s="912">
        <f t="shared" si="158"/>
        <v>0</v>
      </c>
      <c r="L323" s="1671">
        <f t="shared" si="158"/>
        <v>0</v>
      </c>
    </row>
    <row r="324" spans="1:12" s="896" customFormat="1" ht="15" customHeight="1" thickBot="1">
      <c r="A324" s="1665"/>
      <c r="B324" s="1666"/>
      <c r="C324" s="1667" t="s">
        <v>2685</v>
      </c>
      <c r="D324" s="1668"/>
      <c r="E324" s="1669"/>
      <c r="F324" s="1144">
        <f>SUM(G324:L324)</f>
        <v>8836523</v>
      </c>
      <c r="G324" s="1228">
        <f t="shared" ref="G324:L324" si="159">SUM(G322:G323)</f>
        <v>8836523</v>
      </c>
      <c r="H324" s="1228">
        <f t="shared" si="159"/>
        <v>0</v>
      </c>
      <c r="I324" s="1228">
        <f t="shared" si="159"/>
        <v>0</v>
      </c>
      <c r="J324" s="1228">
        <f t="shared" si="159"/>
        <v>0</v>
      </c>
      <c r="K324" s="1228">
        <f t="shared" si="159"/>
        <v>0</v>
      </c>
      <c r="L324" s="1706">
        <f t="shared" si="159"/>
        <v>0</v>
      </c>
    </row>
    <row r="325" spans="1:12" s="896" customFormat="1" ht="15" customHeight="1" thickTop="1">
      <c r="A325" s="1658"/>
      <c r="B325" s="1043"/>
      <c r="C325" s="1043"/>
      <c r="D325" s="1305"/>
      <c r="E325" s="1305"/>
      <c r="F325" s="926"/>
      <c r="G325" s="1075"/>
      <c r="H325" s="1075"/>
      <c r="I325" s="1075"/>
      <c r="J325" s="1075"/>
      <c r="K325" s="1075"/>
      <c r="L325" s="1670"/>
    </row>
    <row r="326" spans="1:12" s="896" customFormat="1" ht="15" customHeight="1">
      <c r="A326" s="1630"/>
      <c r="B326" s="1631"/>
      <c r="C326" s="1664" t="s">
        <v>2665</v>
      </c>
      <c r="D326" s="1633"/>
      <c r="E326" s="1643"/>
      <c r="F326" s="911">
        <f>SUM(G326:L326)</f>
        <v>7856075</v>
      </c>
      <c r="G326" s="912">
        <f t="shared" ref="G326:L326" si="160">+G323</f>
        <v>7856075</v>
      </c>
      <c r="H326" s="912">
        <f t="shared" si="160"/>
        <v>0</v>
      </c>
      <c r="I326" s="912">
        <f t="shared" si="160"/>
        <v>0</v>
      </c>
      <c r="J326" s="912">
        <f t="shared" si="160"/>
        <v>0</v>
      </c>
      <c r="K326" s="912">
        <f t="shared" si="160"/>
        <v>0</v>
      </c>
      <c r="L326" s="1671">
        <f t="shared" si="160"/>
        <v>0</v>
      </c>
    </row>
    <row r="327" spans="1:12" s="896" customFormat="1" ht="15" customHeight="1">
      <c r="A327" s="1630"/>
      <c r="B327" s="1631"/>
      <c r="C327" s="1664" t="s">
        <v>2686</v>
      </c>
      <c r="D327" s="1633"/>
      <c r="E327" s="1643"/>
      <c r="F327" s="911">
        <f>SUM(G327:L327)</f>
        <v>979925</v>
      </c>
      <c r="G327" s="912">
        <f t="shared" ref="G327:L327" si="161">+G322-(G324-G329)</f>
        <v>979925</v>
      </c>
      <c r="H327" s="912">
        <f t="shared" si="161"/>
        <v>0</v>
      </c>
      <c r="I327" s="912">
        <f t="shared" si="161"/>
        <v>0</v>
      </c>
      <c r="J327" s="912">
        <f t="shared" si="161"/>
        <v>0</v>
      </c>
      <c r="K327" s="912">
        <f t="shared" si="161"/>
        <v>0</v>
      </c>
      <c r="L327" s="1671">
        <f t="shared" si="161"/>
        <v>0</v>
      </c>
    </row>
    <row r="328" spans="1:12" s="896" customFormat="1" ht="15" customHeight="1">
      <c r="A328" s="1630"/>
      <c r="B328" s="1631"/>
      <c r="C328" s="1631"/>
      <c r="D328" s="1643"/>
      <c r="E328" s="1672">
        <f>F330+SUM(H329:L329)</f>
        <v>8836000</v>
      </c>
      <c r="F328" s="911" t="s">
        <v>2687</v>
      </c>
      <c r="G328" s="912">
        <f t="shared" ref="G328:L328" si="162">+G322-G327</f>
        <v>523</v>
      </c>
      <c r="H328" s="912">
        <f t="shared" si="162"/>
        <v>0</v>
      </c>
      <c r="I328" s="912">
        <f t="shared" si="162"/>
        <v>0</v>
      </c>
      <c r="J328" s="912">
        <f t="shared" si="162"/>
        <v>0</v>
      </c>
      <c r="K328" s="1233">
        <f t="shared" si="162"/>
        <v>0</v>
      </c>
      <c r="L328" s="1673">
        <f t="shared" si="162"/>
        <v>0</v>
      </c>
    </row>
    <row r="329" spans="1:12" s="896" customFormat="1" ht="15" customHeight="1">
      <c r="A329" s="1235"/>
      <c r="B329" s="1063"/>
      <c r="C329" s="1063" t="s">
        <v>2688</v>
      </c>
      <c r="D329" s="1236"/>
      <c r="E329" s="1672">
        <f>ROUNDDOWN(E328,4-LEN(E328))</f>
        <v>8836000</v>
      </c>
      <c r="F329" s="1237">
        <f>SUM(G329:L329)</f>
        <v>8836000</v>
      </c>
      <c r="G329" s="1233">
        <f>F330-E330</f>
        <v>8836000</v>
      </c>
      <c r="H329" s="1233">
        <f>ROUNDDOWN(H324,H330)</f>
        <v>0</v>
      </c>
      <c r="I329" s="1233">
        <f>ROUNDDOWN(I324,I330)</f>
        <v>0</v>
      </c>
      <c r="J329" s="1233">
        <f>ROUNDDOWN(J324,J330)</f>
        <v>0</v>
      </c>
      <c r="K329" s="1233">
        <f>ROUNDDOWN(K324,K330)</f>
        <v>0</v>
      </c>
      <c r="L329" s="1673">
        <f>ROUNDDOWN(L324,L330)</f>
        <v>0</v>
      </c>
    </row>
    <row r="330" spans="1:12" s="896" customFormat="1" ht="15" customHeight="1">
      <c r="A330" s="1238"/>
      <c r="B330" s="1239"/>
      <c r="C330" s="1239"/>
      <c r="D330" s="1240"/>
      <c r="E330" s="1242">
        <f>E328-E329</f>
        <v>0</v>
      </c>
      <c r="F330" s="1242">
        <f>ROUNDDOWN(G324,G330)</f>
        <v>8836000</v>
      </c>
      <c r="G330" s="1241">
        <f t="shared" ref="G330:L330" si="163">IF(LEN(G324)&lt;=7,-3,IF(LEN(G324)=8,-4,IF(LEN(G324)&gt;=9,-5,-6)))</f>
        <v>-3</v>
      </c>
      <c r="H330" s="1241">
        <f t="shared" si="163"/>
        <v>-3</v>
      </c>
      <c r="I330" s="1241">
        <f t="shared" si="163"/>
        <v>-3</v>
      </c>
      <c r="J330" s="1241">
        <f t="shared" si="163"/>
        <v>-3</v>
      </c>
      <c r="K330" s="1241">
        <f t="shared" si="163"/>
        <v>-3</v>
      </c>
      <c r="L330" s="1674">
        <f t="shared" si="163"/>
        <v>-3</v>
      </c>
    </row>
    <row r="331" spans="1:12" s="1287" customFormat="1" ht="13.5" customHeight="1" thickBot="1">
      <c r="G331" s="1288"/>
      <c r="H331" s="1288"/>
      <c r="I331" s="1288"/>
      <c r="J331" s="1288"/>
      <c r="K331" s="1288"/>
      <c r="L331" s="1288"/>
    </row>
    <row r="332" spans="1:12" s="1287" customFormat="1" ht="13.5" customHeight="1">
      <c r="A332" s="1247"/>
      <c r="B332" s="1248"/>
      <c r="C332" s="1249" t="s">
        <v>2704</v>
      </c>
      <c r="D332" s="1250"/>
      <c r="E332" s="1248"/>
      <c r="F332" s="1251" t="s">
        <v>2690</v>
      </c>
      <c r="G332" s="1675">
        <f t="shared" ref="G332:L332" si="164">+G340</f>
        <v>3.5</v>
      </c>
      <c r="H332" s="1675">
        <f t="shared" si="164"/>
        <v>0</v>
      </c>
      <c r="I332" s="1675">
        <f t="shared" si="164"/>
        <v>0</v>
      </c>
      <c r="J332" s="1675">
        <f t="shared" si="164"/>
        <v>0</v>
      </c>
      <c r="K332" s="1675">
        <f t="shared" si="164"/>
        <v>0</v>
      </c>
      <c r="L332" s="1707">
        <f t="shared" si="164"/>
        <v>0</v>
      </c>
    </row>
    <row r="333" spans="1:12" s="1287" customFormat="1" ht="13.5" customHeight="1">
      <c r="A333" s="2651"/>
      <c r="B333" s="2654" t="s">
        <v>2691</v>
      </c>
      <c r="C333" s="1254" t="s">
        <v>2705</v>
      </c>
      <c r="D333" s="1063"/>
      <c r="E333" s="1255"/>
      <c r="F333" s="1256" t="s">
        <v>2817</v>
      </c>
      <c r="G333" s="1676">
        <f t="shared" ref="G333:L333" si="165">IF($F257&lt;=10000000,ROUND(151.08*((10000)^-0.3396)*(G332^0.586),2),ROUND(151.08*(($F257/1000)^-0.3396)*(G332^0.586),2))</f>
        <v>13.79</v>
      </c>
      <c r="H333" s="1676">
        <f t="shared" si="165"/>
        <v>0</v>
      </c>
      <c r="I333" s="1676">
        <f t="shared" si="165"/>
        <v>0</v>
      </c>
      <c r="J333" s="1676">
        <f t="shared" si="165"/>
        <v>0</v>
      </c>
      <c r="K333" s="1676">
        <f t="shared" si="165"/>
        <v>0</v>
      </c>
      <c r="L333" s="1708">
        <f t="shared" si="165"/>
        <v>0</v>
      </c>
    </row>
    <row r="334" spans="1:12" s="1287" customFormat="1" ht="13.5" customHeight="1">
      <c r="A334" s="2652"/>
      <c r="B334" s="2655"/>
      <c r="C334" s="2657" t="s">
        <v>2707</v>
      </c>
      <c r="D334" s="1133"/>
      <c r="E334" s="1258"/>
      <c r="F334" s="1256" t="s">
        <v>2695</v>
      </c>
      <c r="G334" s="1677">
        <f t="shared" ref="G334:L334" si="166">IF($F257&lt;=10000000,ROUND(20.13,2),0)</f>
        <v>20.13</v>
      </c>
      <c r="H334" s="1677">
        <f t="shared" si="166"/>
        <v>20.13</v>
      </c>
      <c r="I334" s="1677">
        <f t="shared" si="166"/>
        <v>20.13</v>
      </c>
      <c r="J334" s="1677">
        <f t="shared" si="166"/>
        <v>20.13</v>
      </c>
      <c r="K334" s="1677">
        <f t="shared" si="166"/>
        <v>20.13</v>
      </c>
      <c r="L334" s="1709">
        <f t="shared" si="166"/>
        <v>20.13</v>
      </c>
    </row>
    <row r="335" spans="1:12" s="1287" customFormat="1" ht="13.5" customHeight="1">
      <c r="A335" s="2652"/>
      <c r="B335" s="2655"/>
      <c r="C335" s="2794"/>
      <c r="D335" s="1260"/>
      <c r="E335" s="1261"/>
      <c r="F335" s="1256" t="s">
        <v>2696</v>
      </c>
      <c r="G335" s="1677">
        <f t="shared" ref="G335:L335" si="167">IF($F257&lt;=10000000,ROUND(10.01,2),0)</f>
        <v>10.01</v>
      </c>
      <c r="H335" s="1677">
        <f t="shared" si="167"/>
        <v>10.01</v>
      </c>
      <c r="I335" s="1677">
        <f t="shared" si="167"/>
        <v>10.01</v>
      </c>
      <c r="J335" s="1677">
        <f t="shared" si="167"/>
        <v>10.01</v>
      </c>
      <c r="K335" s="1677">
        <f t="shared" si="167"/>
        <v>10.01</v>
      </c>
      <c r="L335" s="1709">
        <f t="shared" si="167"/>
        <v>10.01</v>
      </c>
    </row>
    <row r="336" spans="1:12" s="1287" customFormat="1" ht="13.5" customHeight="1">
      <c r="A336" s="2652"/>
      <c r="B336" s="2655"/>
      <c r="C336" s="2657" t="s">
        <v>2708</v>
      </c>
      <c r="D336" s="1133"/>
      <c r="E336" s="1258"/>
      <c r="F336" s="1256" t="s">
        <v>2695</v>
      </c>
      <c r="G336" s="1678">
        <f t="shared" ref="G336:L336" si="168">IF($F257&gt;10000000,ROUND(75.97*($F257/1000)^-0.1442,2),0)</f>
        <v>0</v>
      </c>
      <c r="H336" s="1678">
        <f t="shared" si="168"/>
        <v>0</v>
      </c>
      <c r="I336" s="1678">
        <f t="shared" si="168"/>
        <v>0</v>
      </c>
      <c r="J336" s="1678">
        <f t="shared" si="168"/>
        <v>0</v>
      </c>
      <c r="K336" s="1678">
        <f t="shared" si="168"/>
        <v>0</v>
      </c>
      <c r="L336" s="1710">
        <f t="shared" si="168"/>
        <v>0</v>
      </c>
    </row>
    <row r="337" spans="1:12" s="1287" customFormat="1" ht="13.5" customHeight="1">
      <c r="A337" s="2653"/>
      <c r="B337" s="2656"/>
      <c r="C337" s="2794"/>
      <c r="D337" s="1260"/>
      <c r="E337" s="1261"/>
      <c r="F337" s="1256" t="s">
        <v>2696</v>
      </c>
      <c r="G337" s="1678">
        <f t="shared" ref="G337:L337" si="169">IF($F257&gt;10000000,ROUND(37.76*($F257/1000)^-0.1442,2),0)</f>
        <v>0</v>
      </c>
      <c r="H337" s="1678">
        <f t="shared" si="169"/>
        <v>0</v>
      </c>
      <c r="I337" s="1678">
        <f t="shared" si="169"/>
        <v>0</v>
      </c>
      <c r="J337" s="1678">
        <f t="shared" si="169"/>
        <v>0</v>
      </c>
      <c r="K337" s="1678">
        <f t="shared" si="169"/>
        <v>0</v>
      </c>
      <c r="L337" s="1710">
        <f t="shared" si="169"/>
        <v>0</v>
      </c>
    </row>
    <row r="338" spans="1:12" s="1287" customFormat="1" ht="13.5" customHeight="1" thickBot="1">
      <c r="A338" s="2791" t="s">
        <v>2709</v>
      </c>
      <c r="B338" s="2792"/>
      <c r="C338" s="2792"/>
      <c r="D338" s="2793"/>
      <c r="E338" s="1679"/>
      <c r="F338" s="1680"/>
      <c r="G338" s="1681">
        <f t="shared" ref="G338:L338" si="170">IF($F257&lt;=10000000,IF(G333&gt;G334,G334,IF(G333&lt;G335,G335,G333)),IF(G333&gt;G336,G336,IF(G333&lt;G337,G337,G333)))</f>
        <v>13.79</v>
      </c>
      <c r="H338" s="1681">
        <f t="shared" si="170"/>
        <v>10.01</v>
      </c>
      <c r="I338" s="1681">
        <f t="shared" si="170"/>
        <v>10.01</v>
      </c>
      <c r="J338" s="1681">
        <f t="shared" si="170"/>
        <v>10.01</v>
      </c>
      <c r="K338" s="1681">
        <f t="shared" si="170"/>
        <v>10.01</v>
      </c>
      <c r="L338" s="1711">
        <f t="shared" si="170"/>
        <v>10.01</v>
      </c>
    </row>
    <row r="339" spans="1:12" s="1287" customFormat="1" ht="13.5" customHeight="1" thickBot="1">
      <c r="A339" s="896"/>
      <c r="B339" s="896"/>
      <c r="C339" s="896"/>
      <c r="D339" s="896"/>
      <c r="E339" s="896"/>
      <c r="F339" s="896"/>
      <c r="G339" s="1264"/>
      <c r="H339" s="1264"/>
      <c r="I339" s="1264"/>
      <c r="J339" s="1264"/>
      <c r="K339" s="1264"/>
      <c r="L339" s="1264"/>
    </row>
    <row r="340" spans="1:12" s="1287" customFormat="1" ht="13.5" customHeight="1">
      <c r="A340" s="1247"/>
      <c r="B340" s="1248"/>
      <c r="C340" s="1249" t="s">
        <v>2704</v>
      </c>
      <c r="D340" s="1250"/>
      <c r="E340" s="1248"/>
      <c r="F340" s="1251" t="s">
        <v>2690</v>
      </c>
      <c r="G340" s="1675">
        <f t="shared" ref="G340:L340" si="171">+G210</f>
        <v>3.5</v>
      </c>
      <c r="H340" s="1675">
        <f t="shared" si="171"/>
        <v>0</v>
      </c>
      <c r="I340" s="1675">
        <f t="shared" si="171"/>
        <v>0</v>
      </c>
      <c r="J340" s="1675">
        <f t="shared" si="171"/>
        <v>0</v>
      </c>
      <c r="K340" s="1675">
        <f t="shared" si="171"/>
        <v>0</v>
      </c>
      <c r="L340" s="1707">
        <f t="shared" si="171"/>
        <v>0</v>
      </c>
    </row>
    <row r="341" spans="1:12" s="1287" customFormat="1" ht="13.5" customHeight="1">
      <c r="A341" s="2651"/>
      <c r="B341" s="2654" t="s">
        <v>2700</v>
      </c>
      <c r="C341" s="1254" t="s">
        <v>2705</v>
      </c>
      <c r="D341" s="1063"/>
      <c r="E341" s="1255"/>
      <c r="F341" s="1256" t="s">
        <v>2817</v>
      </c>
      <c r="G341" s="1676">
        <f t="shared" ref="G341:L341" si="172">IF($F257&lt;=5000000,ROUND(356.2*((5000)^-0.4085)*(G340^0.5766),2),ROUND(356.2*(($F257/1000)^-0.4085)*(G340^0.5766),2))</f>
        <v>22.61</v>
      </c>
      <c r="H341" s="1676">
        <f t="shared" si="172"/>
        <v>0</v>
      </c>
      <c r="I341" s="1676">
        <f t="shared" si="172"/>
        <v>0</v>
      </c>
      <c r="J341" s="1676">
        <f t="shared" si="172"/>
        <v>0</v>
      </c>
      <c r="K341" s="1676">
        <f t="shared" si="172"/>
        <v>0</v>
      </c>
      <c r="L341" s="1708">
        <f t="shared" si="172"/>
        <v>0</v>
      </c>
    </row>
    <row r="342" spans="1:12" s="1287" customFormat="1" ht="13.5" customHeight="1">
      <c r="A342" s="2652"/>
      <c r="B342" s="2655"/>
      <c r="C342" s="2657" t="s">
        <v>2710</v>
      </c>
      <c r="D342" s="1133"/>
      <c r="E342" s="1258"/>
      <c r="F342" s="1256" t="s">
        <v>2695</v>
      </c>
      <c r="G342" s="1677">
        <f t="shared" ref="G342:L342" si="173">IF($F257&lt;=5000000,ROUND(26.86,2),0)</f>
        <v>26.86</v>
      </c>
      <c r="H342" s="1677">
        <f t="shared" si="173"/>
        <v>26.86</v>
      </c>
      <c r="I342" s="1677">
        <f t="shared" si="173"/>
        <v>26.86</v>
      </c>
      <c r="J342" s="1677">
        <f t="shared" si="173"/>
        <v>26.86</v>
      </c>
      <c r="K342" s="1677">
        <f t="shared" si="173"/>
        <v>26.86</v>
      </c>
      <c r="L342" s="1709">
        <f t="shared" si="173"/>
        <v>26.86</v>
      </c>
    </row>
    <row r="343" spans="1:12" s="1287" customFormat="1" ht="13.5" customHeight="1">
      <c r="A343" s="2652"/>
      <c r="B343" s="2655"/>
      <c r="C343" s="2794"/>
      <c r="D343" s="1260"/>
      <c r="E343" s="1261"/>
      <c r="F343" s="1256" t="s">
        <v>2696</v>
      </c>
      <c r="G343" s="1677">
        <f t="shared" ref="G343:L343" si="174">IF($F257&lt;=5000000,ROUND(12.7,2),0)</f>
        <v>12.7</v>
      </c>
      <c r="H343" s="1677">
        <f t="shared" si="174"/>
        <v>12.7</v>
      </c>
      <c r="I343" s="1677">
        <f t="shared" si="174"/>
        <v>12.7</v>
      </c>
      <c r="J343" s="1677">
        <f t="shared" si="174"/>
        <v>12.7</v>
      </c>
      <c r="K343" s="1677">
        <f t="shared" si="174"/>
        <v>12.7</v>
      </c>
      <c r="L343" s="1709">
        <f t="shared" si="174"/>
        <v>12.7</v>
      </c>
    </row>
    <row r="344" spans="1:12" s="1287" customFormat="1" ht="13.5" customHeight="1">
      <c r="A344" s="2652"/>
      <c r="B344" s="2655"/>
      <c r="C344" s="2657" t="s">
        <v>2711</v>
      </c>
      <c r="D344" s="1133"/>
      <c r="E344" s="1258"/>
      <c r="F344" s="1256" t="s">
        <v>2695</v>
      </c>
      <c r="G344" s="1678">
        <f t="shared" ref="G344:L344" si="175">IF($F257&gt;5000000,ROUND(184.58*($F257/1000)^-0.2263,2),0)</f>
        <v>0</v>
      </c>
      <c r="H344" s="1678">
        <f t="shared" si="175"/>
        <v>0</v>
      </c>
      <c r="I344" s="1678">
        <f t="shared" si="175"/>
        <v>0</v>
      </c>
      <c r="J344" s="1678">
        <f t="shared" si="175"/>
        <v>0</v>
      </c>
      <c r="K344" s="1678">
        <f t="shared" si="175"/>
        <v>0</v>
      </c>
      <c r="L344" s="1710">
        <f t="shared" si="175"/>
        <v>0</v>
      </c>
    </row>
    <row r="345" spans="1:12" s="1287" customFormat="1" ht="13.5" customHeight="1">
      <c r="A345" s="2653"/>
      <c r="B345" s="2656"/>
      <c r="C345" s="2794"/>
      <c r="D345" s="1260"/>
      <c r="E345" s="1261"/>
      <c r="F345" s="1256" t="s">
        <v>2696</v>
      </c>
      <c r="G345" s="1678">
        <f t="shared" ref="G345:L345" si="176">IF($F257&gt;5000000,ROUND(87.29*($F257/1000)^-0.2263,2),0)</f>
        <v>0</v>
      </c>
      <c r="H345" s="1678">
        <f t="shared" si="176"/>
        <v>0</v>
      </c>
      <c r="I345" s="1678">
        <f t="shared" si="176"/>
        <v>0</v>
      </c>
      <c r="J345" s="1678">
        <f t="shared" si="176"/>
        <v>0</v>
      </c>
      <c r="K345" s="1678">
        <f t="shared" si="176"/>
        <v>0</v>
      </c>
      <c r="L345" s="1710">
        <f t="shared" si="176"/>
        <v>0</v>
      </c>
    </row>
    <row r="346" spans="1:12" s="1287" customFormat="1" ht="13.5" customHeight="1" thickBot="1">
      <c r="A346" s="2791" t="s">
        <v>2709</v>
      </c>
      <c r="B346" s="2792"/>
      <c r="C346" s="2792"/>
      <c r="D346" s="2792"/>
      <c r="E346" s="1682"/>
      <c r="F346" s="1680"/>
      <c r="G346" s="1683">
        <f t="shared" ref="G346:L346" si="177">IF($F257&lt;=5000000,IF(G341&gt;G342,G342,IF(G341&lt;G343,G343,G341)),IF(G341&gt;G344,G344,IF(G341&lt;G345,G345,G341)))</f>
        <v>22.61</v>
      </c>
      <c r="H346" s="1683">
        <f t="shared" si="177"/>
        <v>12.7</v>
      </c>
      <c r="I346" s="1683">
        <f t="shared" si="177"/>
        <v>12.7</v>
      </c>
      <c r="J346" s="1683">
        <f t="shared" si="177"/>
        <v>12.7</v>
      </c>
      <c r="K346" s="1683">
        <f t="shared" si="177"/>
        <v>12.7</v>
      </c>
      <c r="L346" s="1712">
        <f t="shared" si="177"/>
        <v>12.7</v>
      </c>
    </row>
    <row r="347" spans="1:12" s="1287" customFormat="1" ht="13.5" customHeight="1" thickBot="1">
      <c r="A347" s="896"/>
      <c r="B347" s="896"/>
      <c r="C347" s="896"/>
      <c r="D347" s="896"/>
      <c r="E347" s="896"/>
      <c r="F347" s="896"/>
      <c r="G347" s="1246"/>
      <c r="H347" s="1246"/>
      <c r="I347" s="1246"/>
      <c r="J347" s="1246"/>
      <c r="K347" s="1246"/>
      <c r="L347" s="1246"/>
    </row>
    <row r="348" spans="1:12" s="1287" customFormat="1" ht="13.5" customHeight="1">
      <c r="A348" s="1247"/>
      <c r="B348" s="1248"/>
      <c r="C348" s="1249" t="s">
        <v>2712</v>
      </c>
      <c r="D348" s="1250"/>
      <c r="E348" s="1248"/>
      <c r="F348" s="1251"/>
      <c r="G348" s="1271"/>
      <c r="H348" s="1272"/>
      <c r="I348" s="1273"/>
      <c r="J348" s="1273"/>
      <c r="K348" s="1273"/>
      <c r="L348" s="1273"/>
    </row>
    <row r="349" spans="1:12" s="1287" customFormat="1" ht="13.5" customHeight="1">
      <c r="A349" s="2651"/>
      <c r="B349" s="2654" t="s">
        <v>79</v>
      </c>
      <c r="C349" s="1254" t="s">
        <v>2713</v>
      </c>
      <c r="D349" s="1063"/>
      <c r="E349" s="1255"/>
      <c r="F349" s="1256" t="s">
        <v>2818</v>
      </c>
      <c r="G349" s="1684">
        <f>ROUND(28.978-3.173*LOG($F299/1000),2)</f>
        <v>18.559999999999999</v>
      </c>
      <c r="H349" s="1275"/>
      <c r="I349" s="1276"/>
      <c r="J349" s="1276"/>
      <c r="K349" s="1276"/>
      <c r="L349" s="1276"/>
    </row>
    <row r="350" spans="1:12" s="1287" customFormat="1" ht="13.5" customHeight="1">
      <c r="A350" s="2652"/>
      <c r="B350" s="2655"/>
      <c r="C350" s="1277" t="s">
        <v>2715</v>
      </c>
      <c r="D350" s="1133"/>
      <c r="E350" s="1133"/>
      <c r="F350" s="1278"/>
      <c r="G350" s="1685">
        <f>IF($F299&lt;=5000000,17.24,0)</f>
        <v>17.239999999999998</v>
      </c>
      <c r="H350" s="1280"/>
      <c r="I350" s="1281"/>
      <c r="J350" s="147"/>
      <c r="K350" s="1281"/>
      <c r="L350" s="1281"/>
    </row>
    <row r="351" spans="1:12" s="1287" customFormat="1" ht="13.5" customHeight="1">
      <c r="A351" s="2652"/>
      <c r="B351" s="2655"/>
      <c r="C351" s="1277" t="s">
        <v>2716</v>
      </c>
      <c r="D351" s="1133"/>
      <c r="E351" s="1063"/>
      <c r="F351" s="1278"/>
      <c r="G351" s="1685">
        <f>IF($F299&gt;3000000000,8.43,0)</f>
        <v>0</v>
      </c>
      <c r="H351" s="1282"/>
      <c r="I351" s="1283"/>
      <c r="J351" s="1283"/>
      <c r="K351" s="1283"/>
      <c r="L351" s="1283"/>
    </row>
    <row r="352" spans="1:12" s="1287" customFormat="1" ht="13.5" customHeight="1" thickBot="1">
      <c r="A352" s="2789" t="s">
        <v>2717</v>
      </c>
      <c r="B352" s="2790"/>
      <c r="C352" s="2790"/>
      <c r="D352" s="2790"/>
      <c r="E352" s="1686"/>
      <c r="F352" s="1687"/>
      <c r="G352" s="1688">
        <f>IF($F299&lt;=5000000,G350,IF($F299&gt;3000000000,G351,G349))</f>
        <v>17.239999999999998</v>
      </c>
      <c r="H352" s="1689"/>
      <c r="I352" s="1690"/>
      <c r="J352" s="1690"/>
      <c r="K352" s="1690"/>
      <c r="L352" s="1690"/>
    </row>
  </sheetData>
  <mergeCells count="95">
    <mergeCell ref="B43:C43"/>
    <mergeCell ref="C2:E2"/>
    <mergeCell ref="B4:D4"/>
    <mergeCell ref="B5:D5"/>
    <mergeCell ref="B6:D6"/>
    <mergeCell ref="B16:B17"/>
    <mergeCell ref="B18:B24"/>
    <mergeCell ref="B25:B27"/>
    <mergeCell ref="B28:B34"/>
    <mergeCell ref="A37:C37"/>
    <mergeCell ref="A38:A42"/>
    <mergeCell ref="B41:B42"/>
    <mergeCell ref="A88:A107"/>
    <mergeCell ref="B88:B89"/>
    <mergeCell ref="B90:B97"/>
    <mergeCell ref="B98:B100"/>
    <mergeCell ref="B101:B107"/>
    <mergeCell ref="B48:C48"/>
    <mergeCell ref="B50:C50"/>
    <mergeCell ref="B55:C55"/>
    <mergeCell ref="B58:B59"/>
    <mergeCell ref="B61:B62"/>
    <mergeCell ref="F156:G156"/>
    <mergeCell ref="A157:C157"/>
    <mergeCell ref="F157:G157"/>
    <mergeCell ref="D110:D111"/>
    <mergeCell ref="E110:E111"/>
    <mergeCell ref="A111:C111"/>
    <mergeCell ref="B113:B114"/>
    <mergeCell ref="B115:B122"/>
    <mergeCell ref="B123:B125"/>
    <mergeCell ref="B169:B170"/>
    <mergeCell ref="B128:B131"/>
    <mergeCell ref="B132:B139"/>
    <mergeCell ref="B140:B142"/>
    <mergeCell ref="A151:C152"/>
    <mergeCell ref="A158:A165"/>
    <mergeCell ref="B159:B160"/>
    <mergeCell ref="B161:B162"/>
    <mergeCell ref="B163:B165"/>
    <mergeCell ref="A167:C167"/>
    <mergeCell ref="A201:D201"/>
    <mergeCell ref="B171:B172"/>
    <mergeCell ref="B173:B175"/>
    <mergeCell ref="A188:A192"/>
    <mergeCell ref="B188:B192"/>
    <mergeCell ref="C189:C190"/>
    <mergeCell ref="C191:C192"/>
    <mergeCell ref="A193:D193"/>
    <mergeCell ref="A196:A200"/>
    <mergeCell ref="B196:B200"/>
    <mergeCell ref="C197:C198"/>
    <mergeCell ref="C199:C200"/>
    <mergeCell ref="A204:A206"/>
    <mergeCell ref="B204:B206"/>
    <mergeCell ref="A207:D207"/>
    <mergeCell ref="A233:A252"/>
    <mergeCell ref="B233:B234"/>
    <mergeCell ref="B235:B242"/>
    <mergeCell ref="B243:B245"/>
    <mergeCell ref="B246:B252"/>
    <mergeCell ref="F301:G301"/>
    <mergeCell ref="A302:C302"/>
    <mergeCell ref="F302:G302"/>
    <mergeCell ref="D255:D256"/>
    <mergeCell ref="E255:E256"/>
    <mergeCell ref="A256:C256"/>
    <mergeCell ref="B258:B259"/>
    <mergeCell ref="B260:B267"/>
    <mergeCell ref="B268:B270"/>
    <mergeCell ref="B314:B315"/>
    <mergeCell ref="B273:B276"/>
    <mergeCell ref="B277:B284"/>
    <mergeCell ref="B285:B287"/>
    <mergeCell ref="A296:C297"/>
    <mergeCell ref="A303:A310"/>
    <mergeCell ref="B304:B305"/>
    <mergeCell ref="B306:B307"/>
    <mergeCell ref="B308:B310"/>
    <mergeCell ref="A312:C312"/>
    <mergeCell ref="B316:B317"/>
    <mergeCell ref="B318:B320"/>
    <mergeCell ref="A333:A337"/>
    <mergeCell ref="B333:B337"/>
    <mergeCell ref="C334:C335"/>
    <mergeCell ref="C336:C337"/>
    <mergeCell ref="A349:A351"/>
    <mergeCell ref="B349:B351"/>
    <mergeCell ref="A352:D352"/>
    <mergeCell ref="A338:D338"/>
    <mergeCell ref="A341:A345"/>
    <mergeCell ref="B341:B345"/>
    <mergeCell ref="C342:C343"/>
    <mergeCell ref="C344:C345"/>
    <mergeCell ref="A346:D346"/>
  </mergeCells>
  <phoneticPr fontId="2"/>
  <conditionalFormatting sqref="F67">
    <cfRule type="expression" dxfId="3" priority="2" stopIfTrue="1">
      <formula>AND($F$27&gt;5000000,OR($E$5="無し",$E$5="なし"))</formula>
    </cfRule>
  </conditionalFormatting>
  <conditionalFormatting sqref="F212">
    <cfRule type="expression" dxfId="2" priority="1" stopIfTrue="1">
      <formula>AND($F$27&gt;5000000,OR($E$5="無し",$E$5="なし"))</formula>
    </cfRule>
  </conditionalFormatting>
  <dataValidations count="1">
    <dataValidation type="list" allowBlank="1" showInputMessage="1" showErrorMessage="1" sqref="E66:E67 JA66:JA67 SW66:SW67 ACS66:ACS67 AMO66:AMO67 AWK66:AWK67 BGG66:BGG67 BQC66:BQC67 BZY66:BZY67 CJU66:CJU67 CTQ66:CTQ67 DDM66:DDM67 DNI66:DNI67 DXE66:DXE67 EHA66:EHA67 EQW66:EQW67 FAS66:FAS67 FKO66:FKO67 FUK66:FUK67 GEG66:GEG67 GOC66:GOC67 GXY66:GXY67 HHU66:HHU67 HRQ66:HRQ67 IBM66:IBM67 ILI66:ILI67 IVE66:IVE67 JFA66:JFA67 JOW66:JOW67 JYS66:JYS67 KIO66:KIO67 KSK66:KSK67 LCG66:LCG67 LMC66:LMC67 LVY66:LVY67 MFU66:MFU67 MPQ66:MPQ67 MZM66:MZM67 NJI66:NJI67 NTE66:NTE67 ODA66:ODA67 OMW66:OMW67 OWS66:OWS67 PGO66:PGO67 PQK66:PQK67 QAG66:QAG67 QKC66:QKC67 QTY66:QTY67 RDU66:RDU67 RNQ66:RNQ67 RXM66:RXM67 SHI66:SHI67 SRE66:SRE67 TBA66:TBA67 TKW66:TKW67 TUS66:TUS67 UEO66:UEO67 UOK66:UOK67 UYG66:UYG67 VIC66:VIC67 VRY66:VRY67 WBU66:WBU67 WLQ66:WLQ67 WVM66:WVM67 E65602:E65603 JA65602:JA65603 SW65602:SW65603 ACS65602:ACS65603 AMO65602:AMO65603 AWK65602:AWK65603 BGG65602:BGG65603 BQC65602:BQC65603 BZY65602:BZY65603 CJU65602:CJU65603 CTQ65602:CTQ65603 DDM65602:DDM65603 DNI65602:DNI65603 DXE65602:DXE65603 EHA65602:EHA65603 EQW65602:EQW65603 FAS65602:FAS65603 FKO65602:FKO65603 FUK65602:FUK65603 GEG65602:GEG65603 GOC65602:GOC65603 GXY65602:GXY65603 HHU65602:HHU65603 HRQ65602:HRQ65603 IBM65602:IBM65603 ILI65602:ILI65603 IVE65602:IVE65603 JFA65602:JFA65603 JOW65602:JOW65603 JYS65602:JYS65603 KIO65602:KIO65603 KSK65602:KSK65603 LCG65602:LCG65603 LMC65602:LMC65603 LVY65602:LVY65603 MFU65602:MFU65603 MPQ65602:MPQ65603 MZM65602:MZM65603 NJI65602:NJI65603 NTE65602:NTE65603 ODA65602:ODA65603 OMW65602:OMW65603 OWS65602:OWS65603 PGO65602:PGO65603 PQK65602:PQK65603 QAG65602:QAG65603 QKC65602:QKC65603 QTY65602:QTY65603 RDU65602:RDU65603 RNQ65602:RNQ65603 RXM65602:RXM65603 SHI65602:SHI65603 SRE65602:SRE65603 TBA65602:TBA65603 TKW65602:TKW65603 TUS65602:TUS65603 UEO65602:UEO65603 UOK65602:UOK65603 UYG65602:UYG65603 VIC65602:VIC65603 VRY65602:VRY65603 WBU65602:WBU65603 WLQ65602:WLQ65603 WVM65602:WVM65603 E131138:E131139 JA131138:JA131139 SW131138:SW131139 ACS131138:ACS131139 AMO131138:AMO131139 AWK131138:AWK131139 BGG131138:BGG131139 BQC131138:BQC131139 BZY131138:BZY131139 CJU131138:CJU131139 CTQ131138:CTQ131139 DDM131138:DDM131139 DNI131138:DNI131139 DXE131138:DXE131139 EHA131138:EHA131139 EQW131138:EQW131139 FAS131138:FAS131139 FKO131138:FKO131139 FUK131138:FUK131139 GEG131138:GEG131139 GOC131138:GOC131139 GXY131138:GXY131139 HHU131138:HHU131139 HRQ131138:HRQ131139 IBM131138:IBM131139 ILI131138:ILI131139 IVE131138:IVE131139 JFA131138:JFA131139 JOW131138:JOW131139 JYS131138:JYS131139 KIO131138:KIO131139 KSK131138:KSK131139 LCG131138:LCG131139 LMC131138:LMC131139 LVY131138:LVY131139 MFU131138:MFU131139 MPQ131138:MPQ131139 MZM131138:MZM131139 NJI131138:NJI131139 NTE131138:NTE131139 ODA131138:ODA131139 OMW131138:OMW131139 OWS131138:OWS131139 PGO131138:PGO131139 PQK131138:PQK131139 QAG131138:QAG131139 QKC131138:QKC131139 QTY131138:QTY131139 RDU131138:RDU131139 RNQ131138:RNQ131139 RXM131138:RXM131139 SHI131138:SHI131139 SRE131138:SRE131139 TBA131138:TBA131139 TKW131138:TKW131139 TUS131138:TUS131139 UEO131138:UEO131139 UOK131138:UOK131139 UYG131138:UYG131139 VIC131138:VIC131139 VRY131138:VRY131139 WBU131138:WBU131139 WLQ131138:WLQ131139 WVM131138:WVM131139 E196674:E196675 JA196674:JA196675 SW196674:SW196675 ACS196674:ACS196675 AMO196674:AMO196675 AWK196674:AWK196675 BGG196674:BGG196675 BQC196674:BQC196675 BZY196674:BZY196675 CJU196674:CJU196675 CTQ196674:CTQ196675 DDM196674:DDM196675 DNI196674:DNI196675 DXE196674:DXE196675 EHA196674:EHA196675 EQW196674:EQW196675 FAS196674:FAS196675 FKO196674:FKO196675 FUK196674:FUK196675 GEG196674:GEG196675 GOC196674:GOC196675 GXY196674:GXY196675 HHU196674:HHU196675 HRQ196674:HRQ196675 IBM196674:IBM196675 ILI196674:ILI196675 IVE196674:IVE196675 JFA196674:JFA196675 JOW196674:JOW196675 JYS196674:JYS196675 KIO196674:KIO196675 KSK196674:KSK196675 LCG196674:LCG196675 LMC196674:LMC196675 LVY196674:LVY196675 MFU196674:MFU196675 MPQ196674:MPQ196675 MZM196674:MZM196675 NJI196674:NJI196675 NTE196674:NTE196675 ODA196674:ODA196675 OMW196674:OMW196675 OWS196674:OWS196675 PGO196674:PGO196675 PQK196674:PQK196675 QAG196674:QAG196675 QKC196674:QKC196675 QTY196674:QTY196675 RDU196674:RDU196675 RNQ196674:RNQ196675 RXM196674:RXM196675 SHI196674:SHI196675 SRE196674:SRE196675 TBA196674:TBA196675 TKW196674:TKW196675 TUS196674:TUS196675 UEO196674:UEO196675 UOK196674:UOK196675 UYG196674:UYG196675 VIC196674:VIC196675 VRY196674:VRY196675 WBU196674:WBU196675 WLQ196674:WLQ196675 WVM196674:WVM196675 E262210:E262211 JA262210:JA262211 SW262210:SW262211 ACS262210:ACS262211 AMO262210:AMO262211 AWK262210:AWK262211 BGG262210:BGG262211 BQC262210:BQC262211 BZY262210:BZY262211 CJU262210:CJU262211 CTQ262210:CTQ262211 DDM262210:DDM262211 DNI262210:DNI262211 DXE262210:DXE262211 EHA262210:EHA262211 EQW262210:EQW262211 FAS262210:FAS262211 FKO262210:FKO262211 FUK262210:FUK262211 GEG262210:GEG262211 GOC262210:GOC262211 GXY262210:GXY262211 HHU262210:HHU262211 HRQ262210:HRQ262211 IBM262210:IBM262211 ILI262210:ILI262211 IVE262210:IVE262211 JFA262210:JFA262211 JOW262210:JOW262211 JYS262210:JYS262211 KIO262210:KIO262211 KSK262210:KSK262211 LCG262210:LCG262211 LMC262210:LMC262211 LVY262210:LVY262211 MFU262210:MFU262211 MPQ262210:MPQ262211 MZM262210:MZM262211 NJI262210:NJI262211 NTE262210:NTE262211 ODA262210:ODA262211 OMW262210:OMW262211 OWS262210:OWS262211 PGO262210:PGO262211 PQK262210:PQK262211 QAG262210:QAG262211 QKC262210:QKC262211 QTY262210:QTY262211 RDU262210:RDU262211 RNQ262210:RNQ262211 RXM262210:RXM262211 SHI262210:SHI262211 SRE262210:SRE262211 TBA262210:TBA262211 TKW262210:TKW262211 TUS262210:TUS262211 UEO262210:UEO262211 UOK262210:UOK262211 UYG262210:UYG262211 VIC262210:VIC262211 VRY262210:VRY262211 WBU262210:WBU262211 WLQ262210:WLQ262211 WVM262210:WVM262211 E327746:E327747 JA327746:JA327747 SW327746:SW327747 ACS327746:ACS327747 AMO327746:AMO327747 AWK327746:AWK327747 BGG327746:BGG327747 BQC327746:BQC327747 BZY327746:BZY327747 CJU327746:CJU327747 CTQ327746:CTQ327747 DDM327746:DDM327747 DNI327746:DNI327747 DXE327746:DXE327747 EHA327746:EHA327747 EQW327746:EQW327747 FAS327746:FAS327747 FKO327746:FKO327747 FUK327746:FUK327747 GEG327746:GEG327747 GOC327746:GOC327747 GXY327746:GXY327747 HHU327746:HHU327747 HRQ327746:HRQ327747 IBM327746:IBM327747 ILI327746:ILI327747 IVE327746:IVE327747 JFA327746:JFA327747 JOW327746:JOW327747 JYS327746:JYS327747 KIO327746:KIO327747 KSK327746:KSK327747 LCG327746:LCG327747 LMC327746:LMC327747 LVY327746:LVY327747 MFU327746:MFU327747 MPQ327746:MPQ327747 MZM327746:MZM327747 NJI327746:NJI327747 NTE327746:NTE327747 ODA327746:ODA327747 OMW327746:OMW327747 OWS327746:OWS327747 PGO327746:PGO327747 PQK327746:PQK327747 QAG327746:QAG327747 QKC327746:QKC327747 QTY327746:QTY327747 RDU327746:RDU327747 RNQ327746:RNQ327747 RXM327746:RXM327747 SHI327746:SHI327747 SRE327746:SRE327747 TBA327746:TBA327747 TKW327746:TKW327747 TUS327746:TUS327747 UEO327746:UEO327747 UOK327746:UOK327747 UYG327746:UYG327747 VIC327746:VIC327747 VRY327746:VRY327747 WBU327746:WBU327747 WLQ327746:WLQ327747 WVM327746:WVM327747 E393282:E393283 JA393282:JA393283 SW393282:SW393283 ACS393282:ACS393283 AMO393282:AMO393283 AWK393282:AWK393283 BGG393282:BGG393283 BQC393282:BQC393283 BZY393282:BZY393283 CJU393282:CJU393283 CTQ393282:CTQ393283 DDM393282:DDM393283 DNI393282:DNI393283 DXE393282:DXE393283 EHA393282:EHA393283 EQW393282:EQW393283 FAS393282:FAS393283 FKO393282:FKO393283 FUK393282:FUK393283 GEG393282:GEG393283 GOC393282:GOC393283 GXY393282:GXY393283 HHU393282:HHU393283 HRQ393282:HRQ393283 IBM393282:IBM393283 ILI393282:ILI393283 IVE393282:IVE393283 JFA393282:JFA393283 JOW393282:JOW393283 JYS393282:JYS393283 KIO393282:KIO393283 KSK393282:KSK393283 LCG393282:LCG393283 LMC393282:LMC393283 LVY393282:LVY393283 MFU393282:MFU393283 MPQ393282:MPQ393283 MZM393282:MZM393283 NJI393282:NJI393283 NTE393282:NTE393283 ODA393282:ODA393283 OMW393282:OMW393283 OWS393282:OWS393283 PGO393282:PGO393283 PQK393282:PQK393283 QAG393282:QAG393283 QKC393282:QKC393283 QTY393282:QTY393283 RDU393282:RDU393283 RNQ393282:RNQ393283 RXM393282:RXM393283 SHI393282:SHI393283 SRE393282:SRE393283 TBA393282:TBA393283 TKW393282:TKW393283 TUS393282:TUS393283 UEO393282:UEO393283 UOK393282:UOK393283 UYG393282:UYG393283 VIC393282:VIC393283 VRY393282:VRY393283 WBU393282:WBU393283 WLQ393282:WLQ393283 WVM393282:WVM393283 E458818:E458819 JA458818:JA458819 SW458818:SW458819 ACS458818:ACS458819 AMO458818:AMO458819 AWK458818:AWK458819 BGG458818:BGG458819 BQC458818:BQC458819 BZY458818:BZY458819 CJU458818:CJU458819 CTQ458818:CTQ458819 DDM458818:DDM458819 DNI458818:DNI458819 DXE458818:DXE458819 EHA458818:EHA458819 EQW458818:EQW458819 FAS458818:FAS458819 FKO458818:FKO458819 FUK458818:FUK458819 GEG458818:GEG458819 GOC458818:GOC458819 GXY458818:GXY458819 HHU458818:HHU458819 HRQ458818:HRQ458819 IBM458818:IBM458819 ILI458818:ILI458819 IVE458818:IVE458819 JFA458818:JFA458819 JOW458818:JOW458819 JYS458818:JYS458819 KIO458818:KIO458819 KSK458818:KSK458819 LCG458818:LCG458819 LMC458818:LMC458819 LVY458818:LVY458819 MFU458818:MFU458819 MPQ458818:MPQ458819 MZM458818:MZM458819 NJI458818:NJI458819 NTE458818:NTE458819 ODA458818:ODA458819 OMW458818:OMW458819 OWS458818:OWS458819 PGO458818:PGO458819 PQK458818:PQK458819 QAG458818:QAG458819 QKC458818:QKC458819 QTY458818:QTY458819 RDU458818:RDU458819 RNQ458818:RNQ458819 RXM458818:RXM458819 SHI458818:SHI458819 SRE458818:SRE458819 TBA458818:TBA458819 TKW458818:TKW458819 TUS458818:TUS458819 UEO458818:UEO458819 UOK458818:UOK458819 UYG458818:UYG458819 VIC458818:VIC458819 VRY458818:VRY458819 WBU458818:WBU458819 WLQ458818:WLQ458819 WVM458818:WVM458819 E524354:E524355 JA524354:JA524355 SW524354:SW524355 ACS524354:ACS524355 AMO524354:AMO524355 AWK524354:AWK524355 BGG524354:BGG524355 BQC524354:BQC524355 BZY524354:BZY524355 CJU524354:CJU524355 CTQ524354:CTQ524355 DDM524354:DDM524355 DNI524354:DNI524355 DXE524354:DXE524355 EHA524354:EHA524355 EQW524354:EQW524355 FAS524354:FAS524355 FKO524354:FKO524355 FUK524354:FUK524355 GEG524354:GEG524355 GOC524354:GOC524355 GXY524354:GXY524355 HHU524354:HHU524355 HRQ524354:HRQ524355 IBM524354:IBM524355 ILI524354:ILI524355 IVE524354:IVE524355 JFA524354:JFA524355 JOW524354:JOW524355 JYS524354:JYS524355 KIO524354:KIO524355 KSK524354:KSK524355 LCG524354:LCG524355 LMC524354:LMC524355 LVY524354:LVY524355 MFU524354:MFU524355 MPQ524354:MPQ524355 MZM524354:MZM524355 NJI524354:NJI524355 NTE524354:NTE524355 ODA524354:ODA524355 OMW524354:OMW524355 OWS524354:OWS524355 PGO524354:PGO524355 PQK524354:PQK524355 QAG524354:QAG524355 QKC524354:QKC524355 QTY524354:QTY524355 RDU524354:RDU524355 RNQ524354:RNQ524355 RXM524354:RXM524355 SHI524354:SHI524355 SRE524354:SRE524355 TBA524354:TBA524355 TKW524354:TKW524355 TUS524354:TUS524355 UEO524354:UEO524355 UOK524354:UOK524355 UYG524354:UYG524355 VIC524354:VIC524355 VRY524354:VRY524355 WBU524354:WBU524355 WLQ524354:WLQ524355 WVM524354:WVM524355 E589890:E589891 JA589890:JA589891 SW589890:SW589891 ACS589890:ACS589891 AMO589890:AMO589891 AWK589890:AWK589891 BGG589890:BGG589891 BQC589890:BQC589891 BZY589890:BZY589891 CJU589890:CJU589891 CTQ589890:CTQ589891 DDM589890:DDM589891 DNI589890:DNI589891 DXE589890:DXE589891 EHA589890:EHA589891 EQW589890:EQW589891 FAS589890:FAS589891 FKO589890:FKO589891 FUK589890:FUK589891 GEG589890:GEG589891 GOC589890:GOC589891 GXY589890:GXY589891 HHU589890:HHU589891 HRQ589890:HRQ589891 IBM589890:IBM589891 ILI589890:ILI589891 IVE589890:IVE589891 JFA589890:JFA589891 JOW589890:JOW589891 JYS589890:JYS589891 KIO589890:KIO589891 KSK589890:KSK589891 LCG589890:LCG589891 LMC589890:LMC589891 LVY589890:LVY589891 MFU589890:MFU589891 MPQ589890:MPQ589891 MZM589890:MZM589891 NJI589890:NJI589891 NTE589890:NTE589891 ODA589890:ODA589891 OMW589890:OMW589891 OWS589890:OWS589891 PGO589890:PGO589891 PQK589890:PQK589891 QAG589890:QAG589891 QKC589890:QKC589891 QTY589890:QTY589891 RDU589890:RDU589891 RNQ589890:RNQ589891 RXM589890:RXM589891 SHI589890:SHI589891 SRE589890:SRE589891 TBA589890:TBA589891 TKW589890:TKW589891 TUS589890:TUS589891 UEO589890:UEO589891 UOK589890:UOK589891 UYG589890:UYG589891 VIC589890:VIC589891 VRY589890:VRY589891 WBU589890:WBU589891 WLQ589890:WLQ589891 WVM589890:WVM589891 E655426:E655427 JA655426:JA655427 SW655426:SW655427 ACS655426:ACS655427 AMO655426:AMO655427 AWK655426:AWK655427 BGG655426:BGG655427 BQC655426:BQC655427 BZY655426:BZY655427 CJU655426:CJU655427 CTQ655426:CTQ655427 DDM655426:DDM655427 DNI655426:DNI655427 DXE655426:DXE655427 EHA655426:EHA655427 EQW655426:EQW655427 FAS655426:FAS655427 FKO655426:FKO655427 FUK655426:FUK655427 GEG655426:GEG655427 GOC655426:GOC655427 GXY655426:GXY655427 HHU655426:HHU655427 HRQ655426:HRQ655427 IBM655426:IBM655427 ILI655426:ILI655427 IVE655426:IVE655427 JFA655426:JFA655427 JOW655426:JOW655427 JYS655426:JYS655427 KIO655426:KIO655427 KSK655426:KSK655427 LCG655426:LCG655427 LMC655426:LMC655427 LVY655426:LVY655427 MFU655426:MFU655427 MPQ655426:MPQ655427 MZM655426:MZM655427 NJI655426:NJI655427 NTE655426:NTE655427 ODA655426:ODA655427 OMW655426:OMW655427 OWS655426:OWS655427 PGO655426:PGO655427 PQK655426:PQK655427 QAG655426:QAG655427 QKC655426:QKC655427 QTY655426:QTY655427 RDU655426:RDU655427 RNQ655426:RNQ655427 RXM655426:RXM655427 SHI655426:SHI655427 SRE655426:SRE655427 TBA655426:TBA655427 TKW655426:TKW655427 TUS655426:TUS655427 UEO655426:UEO655427 UOK655426:UOK655427 UYG655426:UYG655427 VIC655426:VIC655427 VRY655426:VRY655427 WBU655426:WBU655427 WLQ655426:WLQ655427 WVM655426:WVM655427 E720962:E720963 JA720962:JA720963 SW720962:SW720963 ACS720962:ACS720963 AMO720962:AMO720963 AWK720962:AWK720963 BGG720962:BGG720963 BQC720962:BQC720963 BZY720962:BZY720963 CJU720962:CJU720963 CTQ720962:CTQ720963 DDM720962:DDM720963 DNI720962:DNI720963 DXE720962:DXE720963 EHA720962:EHA720963 EQW720962:EQW720963 FAS720962:FAS720963 FKO720962:FKO720963 FUK720962:FUK720963 GEG720962:GEG720963 GOC720962:GOC720963 GXY720962:GXY720963 HHU720962:HHU720963 HRQ720962:HRQ720963 IBM720962:IBM720963 ILI720962:ILI720963 IVE720962:IVE720963 JFA720962:JFA720963 JOW720962:JOW720963 JYS720962:JYS720963 KIO720962:KIO720963 KSK720962:KSK720963 LCG720962:LCG720963 LMC720962:LMC720963 LVY720962:LVY720963 MFU720962:MFU720963 MPQ720962:MPQ720963 MZM720962:MZM720963 NJI720962:NJI720963 NTE720962:NTE720963 ODA720962:ODA720963 OMW720962:OMW720963 OWS720962:OWS720963 PGO720962:PGO720963 PQK720962:PQK720963 QAG720962:QAG720963 QKC720962:QKC720963 QTY720962:QTY720963 RDU720962:RDU720963 RNQ720962:RNQ720963 RXM720962:RXM720963 SHI720962:SHI720963 SRE720962:SRE720963 TBA720962:TBA720963 TKW720962:TKW720963 TUS720962:TUS720963 UEO720962:UEO720963 UOK720962:UOK720963 UYG720962:UYG720963 VIC720962:VIC720963 VRY720962:VRY720963 WBU720962:WBU720963 WLQ720962:WLQ720963 WVM720962:WVM720963 E786498:E786499 JA786498:JA786499 SW786498:SW786499 ACS786498:ACS786499 AMO786498:AMO786499 AWK786498:AWK786499 BGG786498:BGG786499 BQC786498:BQC786499 BZY786498:BZY786499 CJU786498:CJU786499 CTQ786498:CTQ786499 DDM786498:DDM786499 DNI786498:DNI786499 DXE786498:DXE786499 EHA786498:EHA786499 EQW786498:EQW786499 FAS786498:FAS786499 FKO786498:FKO786499 FUK786498:FUK786499 GEG786498:GEG786499 GOC786498:GOC786499 GXY786498:GXY786499 HHU786498:HHU786499 HRQ786498:HRQ786499 IBM786498:IBM786499 ILI786498:ILI786499 IVE786498:IVE786499 JFA786498:JFA786499 JOW786498:JOW786499 JYS786498:JYS786499 KIO786498:KIO786499 KSK786498:KSK786499 LCG786498:LCG786499 LMC786498:LMC786499 LVY786498:LVY786499 MFU786498:MFU786499 MPQ786498:MPQ786499 MZM786498:MZM786499 NJI786498:NJI786499 NTE786498:NTE786499 ODA786498:ODA786499 OMW786498:OMW786499 OWS786498:OWS786499 PGO786498:PGO786499 PQK786498:PQK786499 QAG786498:QAG786499 QKC786498:QKC786499 QTY786498:QTY786499 RDU786498:RDU786499 RNQ786498:RNQ786499 RXM786498:RXM786499 SHI786498:SHI786499 SRE786498:SRE786499 TBA786498:TBA786499 TKW786498:TKW786499 TUS786498:TUS786499 UEO786498:UEO786499 UOK786498:UOK786499 UYG786498:UYG786499 VIC786498:VIC786499 VRY786498:VRY786499 WBU786498:WBU786499 WLQ786498:WLQ786499 WVM786498:WVM786499 E852034:E852035 JA852034:JA852035 SW852034:SW852035 ACS852034:ACS852035 AMO852034:AMO852035 AWK852034:AWK852035 BGG852034:BGG852035 BQC852034:BQC852035 BZY852034:BZY852035 CJU852034:CJU852035 CTQ852034:CTQ852035 DDM852034:DDM852035 DNI852034:DNI852035 DXE852034:DXE852035 EHA852034:EHA852035 EQW852034:EQW852035 FAS852034:FAS852035 FKO852034:FKO852035 FUK852034:FUK852035 GEG852034:GEG852035 GOC852034:GOC852035 GXY852034:GXY852035 HHU852034:HHU852035 HRQ852034:HRQ852035 IBM852034:IBM852035 ILI852034:ILI852035 IVE852034:IVE852035 JFA852034:JFA852035 JOW852034:JOW852035 JYS852034:JYS852035 KIO852034:KIO852035 KSK852034:KSK852035 LCG852034:LCG852035 LMC852034:LMC852035 LVY852034:LVY852035 MFU852034:MFU852035 MPQ852034:MPQ852035 MZM852034:MZM852035 NJI852034:NJI852035 NTE852034:NTE852035 ODA852034:ODA852035 OMW852034:OMW852035 OWS852034:OWS852035 PGO852034:PGO852035 PQK852034:PQK852035 QAG852034:QAG852035 QKC852034:QKC852035 QTY852034:QTY852035 RDU852034:RDU852035 RNQ852034:RNQ852035 RXM852034:RXM852035 SHI852034:SHI852035 SRE852034:SRE852035 TBA852034:TBA852035 TKW852034:TKW852035 TUS852034:TUS852035 UEO852034:UEO852035 UOK852034:UOK852035 UYG852034:UYG852035 VIC852034:VIC852035 VRY852034:VRY852035 WBU852034:WBU852035 WLQ852034:WLQ852035 WVM852034:WVM852035 E917570:E917571 JA917570:JA917571 SW917570:SW917571 ACS917570:ACS917571 AMO917570:AMO917571 AWK917570:AWK917571 BGG917570:BGG917571 BQC917570:BQC917571 BZY917570:BZY917571 CJU917570:CJU917571 CTQ917570:CTQ917571 DDM917570:DDM917571 DNI917570:DNI917571 DXE917570:DXE917571 EHA917570:EHA917571 EQW917570:EQW917571 FAS917570:FAS917571 FKO917570:FKO917571 FUK917570:FUK917571 GEG917570:GEG917571 GOC917570:GOC917571 GXY917570:GXY917571 HHU917570:HHU917571 HRQ917570:HRQ917571 IBM917570:IBM917571 ILI917570:ILI917571 IVE917570:IVE917571 JFA917570:JFA917571 JOW917570:JOW917571 JYS917570:JYS917571 KIO917570:KIO917571 KSK917570:KSK917571 LCG917570:LCG917571 LMC917570:LMC917571 LVY917570:LVY917571 MFU917570:MFU917571 MPQ917570:MPQ917571 MZM917570:MZM917571 NJI917570:NJI917571 NTE917570:NTE917571 ODA917570:ODA917571 OMW917570:OMW917571 OWS917570:OWS917571 PGO917570:PGO917571 PQK917570:PQK917571 QAG917570:QAG917571 QKC917570:QKC917571 QTY917570:QTY917571 RDU917570:RDU917571 RNQ917570:RNQ917571 RXM917570:RXM917571 SHI917570:SHI917571 SRE917570:SRE917571 TBA917570:TBA917571 TKW917570:TKW917571 TUS917570:TUS917571 UEO917570:UEO917571 UOK917570:UOK917571 UYG917570:UYG917571 VIC917570:VIC917571 VRY917570:VRY917571 WBU917570:WBU917571 WLQ917570:WLQ917571 WVM917570:WVM917571 E983106:E983107 JA983106:JA983107 SW983106:SW983107 ACS983106:ACS983107 AMO983106:AMO983107 AWK983106:AWK983107 BGG983106:BGG983107 BQC983106:BQC983107 BZY983106:BZY983107 CJU983106:CJU983107 CTQ983106:CTQ983107 DDM983106:DDM983107 DNI983106:DNI983107 DXE983106:DXE983107 EHA983106:EHA983107 EQW983106:EQW983107 FAS983106:FAS983107 FKO983106:FKO983107 FUK983106:FUK983107 GEG983106:GEG983107 GOC983106:GOC983107 GXY983106:GXY983107 HHU983106:HHU983107 HRQ983106:HRQ983107 IBM983106:IBM983107 ILI983106:ILI983107 IVE983106:IVE983107 JFA983106:JFA983107 JOW983106:JOW983107 JYS983106:JYS983107 KIO983106:KIO983107 KSK983106:KSK983107 LCG983106:LCG983107 LMC983106:LMC983107 LVY983106:LVY983107 MFU983106:MFU983107 MPQ983106:MPQ983107 MZM983106:MZM983107 NJI983106:NJI983107 NTE983106:NTE983107 ODA983106:ODA983107 OMW983106:OMW983107 OWS983106:OWS983107 PGO983106:PGO983107 PQK983106:PQK983107 QAG983106:QAG983107 QKC983106:QKC983107 QTY983106:QTY983107 RDU983106:RDU983107 RNQ983106:RNQ983107 RXM983106:RXM983107 SHI983106:SHI983107 SRE983106:SRE983107 TBA983106:TBA983107 TKW983106:TKW983107 TUS983106:TUS983107 UEO983106:UEO983107 UOK983106:UOK983107 UYG983106:UYG983107 VIC983106:VIC983107 VRY983106:VRY983107 WBU983106:WBU983107 WLQ983106:WLQ983107 WVM983106:WVM983107 E211:E212 JA211:JA212 SW211:SW212 ACS211:ACS212 AMO211:AMO212 AWK211:AWK212 BGG211:BGG212 BQC211:BQC212 BZY211:BZY212 CJU211:CJU212 CTQ211:CTQ212 DDM211:DDM212 DNI211:DNI212 DXE211:DXE212 EHA211:EHA212 EQW211:EQW212 FAS211:FAS212 FKO211:FKO212 FUK211:FUK212 GEG211:GEG212 GOC211:GOC212 GXY211:GXY212 HHU211:HHU212 HRQ211:HRQ212 IBM211:IBM212 ILI211:ILI212 IVE211:IVE212 JFA211:JFA212 JOW211:JOW212 JYS211:JYS212 KIO211:KIO212 KSK211:KSK212 LCG211:LCG212 LMC211:LMC212 LVY211:LVY212 MFU211:MFU212 MPQ211:MPQ212 MZM211:MZM212 NJI211:NJI212 NTE211:NTE212 ODA211:ODA212 OMW211:OMW212 OWS211:OWS212 PGO211:PGO212 PQK211:PQK212 QAG211:QAG212 QKC211:QKC212 QTY211:QTY212 RDU211:RDU212 RNQ211:RNQ212 RXM211:RXM212 SHI211:SHI212 SRE211:SRE212 TBA211:TBA212 TKW211:TKW212 TUS211:TUS212 UEO211:UEO212 UOK211:UOK212 UYG211:UYG212 VIC211:VIC212 VRY211:VRY212 WBU211:WBU212 WLQ211:WLQ212 WVM211:WVM212 E65747:E65748 JA65747:JA65748 SW65747:SW65748 ACS65747:ACS65748 AMO65747:AMO65748 AWK65747:AWK65748 BGG65747:BGG65748 BQC65747:BQC65748 BZY65747:BZY65748 CJU65747:CJU65748 CTQ65747:CTQ65748 DDM65747:DDM65748 DNI65747:DNI65748 DXE65747:DXE65748 EHA65747:EHA65748 EQW65747:EQW65748 FAS65747:FAS65748 FKO65747:FKO65748 FUK65747:FUK65748 GEG65747:GEG65748 GOC65747:GOC65748 GXY65747:GXY65748 HHU65747:HHU65748 HRQ65747:HRQ65748 IBM65747:IBM65748 ILI65747:ILI65748 IVE65747:IVE65748 JFA65747:JFA65748 JOW65747:JOW65748 JYS65747:JYS65748 KIO65747:KIO65748 KSK65747:KSK65748 LCG65747:LCG65748 LMC65747:LMC65748 LVY65747:LVY65748 MFU65747:MFU65748 MPQ65747:MPQ65748 MZM65747:MZM65748 NJI65747:NJI65748 NTE65747:NTE65748 ODA65747:ODA65748 OMW65747:OMW65748 OWS65747:OWS65748 PGO65747:PGO65748 PQK65747:PQK65748 QAG65747:QAG65748 QKC65747:QKC65748 QTY65747:QTY65748 RDU65747:RDU65748 RNQ65747:RNQ65748 RXM65747:RXM65748 SHI65747:SHI65748 SRE65747:SRE65748 TBA65747:TBA65748 TKW65747:TKW65748 TUS65747:TUS65748 UEO65747:UEO65748 UOK65747:UOK65748 UYG65747:UYG65748 VIC65747:VIC65748 VRY65747:VRY65748 WBU65747:WBU65748 WLQ65747:WLQ65748 WVM65747:WVM65748 E131283:E131284 JA131283:JA131284 SW131283:SW131284 ACS131283:ACS131284 AMO131283:AMO131284 AWK131283:AWK131284 BGG131283:BGG131284 BQC131283:BQC131284 BZY131283:BZY131284 CJU131283:CJU131284 CTQ131283:CTQ131284 DDM131283:DDM131284 DNI131283:DNI131284 DXE131283:DXE131284 EHA131283:EHA131284 EQW131283:EQW131284 FAS131283:FAS131284 FKO131283:FKO131284 FUK131283:FUK131284 GEG131283:GEG131284 GOC131283:GOC131284 GXY131283:GXY131284 HHU131283:HHU131284 HRQ131283:HRQ131284 IBM131283:IBM131284 ILI131283:ILI131284 IVE131283:IVE131284 JFA131283:JFA131284 JOW131283:JOW131284 JYS131283:JYS131284 KIO131283:KIO131284 KSK131283:KSK131284 LCG131283:LCG131284 LMC131283:LMC131284 LVY131283:LVY131284 MFU131283:MFU131284 MPQ131283:MPQ131284 MZM131283:MZM131284 NJI131283:NJI131284 NTE131283:NTE131284 ODA131283:ODA131284 OMW131283:OMW131284 OWS131283:OWS131284 PGO131283:PGO131284 PQK131283:PQK131284 QAG131283:QAG131284 QKC131283:QKC131284 QTY131283:QTY131284 RDU131283:RDU131284 RNQ131283:RNQ131284 RXM131283:RXM131284 SHI131283:SHI131284 SRE131283:SRE131284 TBA131283:TBA131284 TKW131283:TKW131284 TUS131283:TUS131284 UEO131283:UEO131284 UOK131283:UOK131284 UYG131283:UYG131284 VIC131283:VIC131284 VRY131283:VRY131284 WBU131283:WBU131284 WLQ131283:WLQ131284 WVM131283:WVM131284 E196819:E196820 JA196819:JA196820 SW196819:SW196820 ACS196819:ACS196820 AMO196819:AMO196820 AWK196819:AWK196820 BGG196819:BGG196820 BQC196819:BQC196820 BZY196819:BZY196820 CJU196819:CJU196820 CTQ196819:CTQ196820 DDM196819:DDM196820 DNI196819:DNI196820 DXE196819:DXE196820 EHA196819:EHA196820 EQW196819:EQW196820 FAS196819:FAS196820 FKO196819:FKO196820 FUK196819:FUK196820 GEG196819:GEG196820 GOC196819:GOC196820 GXY196819:GXY196820 HHU196819:HHU196820 HRQ196819:HRQ196820 IBM196819:IBM196820 ILI196819:ILI196820 IVE196819:IVE196820 JFA196819:JFA196820 JOW196819:JOW196820 JYS196819:JYS196820 KIO196819:KIO196820 KSK196819:KSK196820 LCG196819:LCG196820 LMC196819:LMC196820 LVY196819:LVY196820 MFU196819:MFU196820 MPQ196819:MPQ196820 MZM196819:MZM196820 NJI196819:NJI196820 NTE196819:NTE196820 ODA196819:ODA196820 OMW196819:OMW196820 OWS196819:OWS196820 PGO196819:PGO196820 PQK196819:PQK196820 QAG196819:QAG196820 QKC196819:QKC196820 QTY196819:QTY196820 RDU196819:RDU196820 RNQ196819:RNQ196820 RXM196819:RXM196820 SHI196819:SHI196820 SRE196819:SRE196820 TBA196819:TBA196820 TKW196819:TKW196820 TUS196819:TUS196820 UEO196819:UEO196820 UOK196819:UOK196820 UYG196819:UYG196820 VIC196819:VIC196820 VRY196819:VRY196820 WBU196819:WBU196820 WLQ196819:WLQ196820 WVM196819:WVM196820 E262355:E262356 JA262355:JA262356 SW262355:SW262356 ACS262355:ACS262356 AMO262355:AMO262356 AWK262355:AWK262356 BGG262355:BGG262356 BQC262355:BQC262356 BZY262355:BZY262356 CJU262355:CJU262356 CTQ262355:CTQ262356 DDM262355:DDM262356 DNI262355:DNI262356 DXE262355:DXE262356 EHA262355:EHA262356 EQW262355:EQW262356 FAS262355:FAS262356 FKO262355:FKO262356 FUK262355:FUK262356 GEG262355:GEG262356 GOC262355:GOC262356 GXY262355:GXY262356 HHU262355:HHU262356 HRQ262355:HRQ262356 IBM262355:IBM262356 ILI262355:ILI262356 IVE262355:IVE262356 JFA262355:JFA262356 JOW262355:JOW262356 JYS262355:JYS262356 KIO262355:KIO262356 KSK262355:KSK262356 LCG262355:LCG262356 LMC262355:LMC262356 LVY262355:LVY262356 MFU262355:MFU262356 MPQ262355:MPQ262356 MZM262355:MZM262356 NJI262355:NJI262356 NTE262355:NTE262356 ODA262355:ODA262356 OMW262355:OMW262356 OWS262355:OWS262356 PGO262355:PGO262356 PQK262355:PQK262356 QAG262355:QAG262356 QKC262355:QKC262356 QTY262355:QTY262356 RDU262355:RDU262356 RNQ262355:RNQ262356 RXM262355:RXM262356 SHI262355:SHI262356 SRE262355:SRE262356 TBA262355:TBA262356 TKW262355:TKW262356 TUS262355:TUS262356 UEO262355:UEO262356 UOK262355:UOK262356 UYG262355:UYG262356 VIC262355:VIC262356 VRY262355:VRY262356 WBU262355:WBU262356 WLQ262355:WLQ262356 WVM262355:WVM262356 E327891:E327892 JA327891:JA327892 SW327891:SW327892 ACS327891:ACS327892 AMO327891:AMO327892 AWK327891:AWK327892 BGG327891:BGG327892 BQC327891:BQC327892 BZY327891:BZY327892 CJU327891:CJU327892 CTQ327891:CTQ327892 DDM327891:DDM327892 DNI327891:DNI327892 DXE327891:DXE327892 EHA327891:EHA327892 EQW327891:EQW327892 FAS327891:FAS327892 FKO327891:FKO327892 FUK327891:FUK327892 GEG327891:GEG327892 GOC327891:GOC327892 GXY327891:GXY327892 HHU327891:HHU327892 HRQ327891:HRQ327892 IBM327891:IBM327892 ILI327891:ILI327892 IVE327891:IVE327892 JFA327891:JFA327892 JOW327891:JOW327892 JYS327891:JYS327892 KIO327891:KIO327892 KSK327891:KSK327892 LCG327891:LCG327892 LMC327891:LMC327892 LVY327891:LVY327892 MFU327891:MFU327892 MPQ327891:MPQ327892 MZM327891:MZM327892 NJI327891:NJI327892 NTE327891:NTE327892 ODA327891:ODA327892 OMW327891:OMW327892 OWS327891:OWS327892 PGO327891:PGO327892 PQK327891:PQK327892 QAG327891:QAG327892 QKC327891:QKC327892 QTY327891:QTY327892 RDU327891:RDU327892 RNQ327891:RNQ327892 RXM327891:RXM327892 SHI327891:SHI327892 SRE327891:SRE327892 TBA327891:TBA327892 TKW327891:TKW327892 TUS327891:TUS327892 UEO327891:UEO327892 UOK327891:UOK327892 UYG327891:UYG327892 VIC327891:VIC327892 VRY327891:VRY327892 WBU327891:WBU327892 WLQ327891:WLQ327892 WVM327891:WVM327892 E393427:E393428 JA393427:JA393428 SW393427:SW393428 ACS393427:ACS393428 AMO393427:AMO393428 AWK393427:AWK393428 BGG393427:BGG393428 BQC393427:BQC393428 BZY393427:BZY393428 CJU393427:CJU393428 CTQ393427:CTQ393428 DDM393427:DDM393428 DNI393427:DNI393428 DXE393427:DXE393428 EHA393427:EHA393428 EQW393427:EQW393428 FAS393427:FAS393428 FKO393427:FKO393428 FUK393427:FUK393428 GEG393427:GEG393428 GOC393427:GOC393428 GXY393427:GXY393428 HHU393427:HHU393428 HRQ393427:HRQ393428 IBM393427:IBM393428 ILI393427:ILI393428 IVE393427:IVE393428 JFA393427:JFA393428 JOW393427:JOW393428 JYS393427:JYS393428 KIO393427:KIO393428 KSK393427:KSK393428 LCG393427:LCG393428 LMC393427:LMC393428 LVY393427:LVY393428 MFU393427:MFU393428 MPQ393427:MPQ393428 MZM393427:MZM393428 NJI393427:NJI393428 NTE393427:NTE393428 ODA393427:ODA393428 OMW393427:OMW393428 OWS393427:OWS393428 PGO393427:PGO393428 PQK393427:PQK393428 QAG393427:QAG393428 QKC393427:QKC393428 QTY393427:QTY393428 RDU393427:RDU393428 RNQ393427:RNQ393428 RXM393427:RXM393428 SHI393427:SHI393428 SRE393427:SRE393428 TBA393427:TBA393428 TKW393427:TKW393428 TUS393427:TUS393428 UEO393427:UEO393428 UOK393427:UOK393428 UYG393427:UYG393428 VIC393427:VIC393428 VRY393427:VRY393428 WBU393427:WBU393428 WLQ393427:WLQ393428 WVM393427:WVM393428 E458963:E458964 JA458963:JA458964 SW458963:SW458964 ACS458963:ACS458964 AMO458963:AMO458964 AWK458963:AWK458964 BGG458963:BGG458964 BQC458963:BQC458964 BZY458963:BZY458964 CJU458963:CJU458964 CTQ458963:CTQ458964 DDM458963:DDM458964 DNI458963:DNI458964 DXE458963:DXE458964 EHA458963:EHA458964 EQW458963:EQW458964 FAS458963:FAS458964 FKO458963:FKO458964 FUK458963:FUK458964 GEG458963:GEG458964 GOC458963:GOC458964 GXY458963:GXY458964 HHU458963:HHU458964 HRQ458963:HRQ458964 IBM458963:IBM458964 ILI458963:ILI458964 IVE458963:IVE458964 JFA458963:JFA458964 JOW458963:JOW458964 JYS458963:JYS458964 KIO458963:KIO458964 KSK458963:KSK458964 LCG458963:LCG458964 LMC458963:LMC458964 LVY458963:LVY458964 MFU458963:MFU458964 MPQ458963:MPQ458964 MZM458963:MZM458964 NJI458963:NJI458964 NTE458963:NTE458964 ODA458963:ODA458964 OMW458963:OMW458964 OWS458963:OWS458964 PGO458963:PGO458964 PQK458963:PQK458964 QAG458963:QAG458964 QKC458963:QKC458964 QTY458963:QTY458964 RDU458963:RDU458964 RNQ458963:RNQ458964 RXM458963:RXM458964 SHI458963:SHI458964 SRE458963:SRE458964 TBA458963:TBA458964 TKW458963:TKW458964 TUS458963:TUS458964 UEO458963:UEO458964 UOK458963:UOK458964 UYG458963:UYG458964 VIC458963:VIC458964 VRY458963:VRY458964 WBU458963:WBU458964 WLQ458963:WLQ458964 WVM458963:WVM458964 E524499:E524500 JA524499:JA524500 SW524499:SW524500 ACS524499:ACS524500 AMO524499:AMO524500 AWK524499:AWK524500 BGG524499:BGG524500 BQC524499:BQC524500 BZY524499:BZY524500 CJU524499:CJU524500 CTQ524499:CTQ524500 DDM524499:DDM524500 DNI524499:DNI524500 DXE524499:DXE524500 EHA524499:EHA524500 EQW524499:EQW524500 FAS524499:FAS524500 FKO524499:FKO524500 FUK524499:FUK524500 GEG524499:GEG524500 GOC524499:GOC524500 GXY524499:GXY524500 HHU524499:HHU524500 HRQ524499:HRQ524500 IBM524499:IBM524500 ILI524499:ILI524500 IVE524499:IVE524500 JFA524499:JFA524500 JOW524499:JOW524500 JYS524499:JYS524500 KIO524499:KIO524500 KSK524499:KSK524500 LCG524499:LCG524500 LMC524499:LMC524500 LVY524499:LVY524500 MFU524499:MFU524500 MPQ524499:MPQ524500 MZM524499:MZM524500 NJI524499:NJI524500 NTE524499:NTE524500 ODA524499:ODA524500 OMW524499:OMW524500 OWS524499:OWS524500 PGO524499:PGO524500 PQK524499:PQK524500 QAG524499:QAG524500 QKC524499:QKC524500 QTY524499:QTY524500 RDU524499:RDU524500 RNQ524499:RNQ524500 RXM524499:RXM524500 SHI524499:SHI524500 SRE524499:SRE524500 TBA524499:TBA524500 TKW524499:TKW524500 TUS524499:TUS524500 UEO524499:UEO524500 UOK524499:UOK524500 UYG524499:UYG524500 VIC524499:VIC524500 VRY524499:VRY524500 WBU524499:WBU524500 WLQ524499:WLQ524500 WVM524499:WVM524500 E590035:E590036 JA590035:JA590036 SW590035:SW590036 ACS590035:ACS590036 AMO590035:AMO590036 AWK590035:AWK590036 BGG590035:BGG590036 BQC590035:BQC590036 BZY590035:BZY590036 CJU590035:CJU590036 CTQ590035:CTQ590036 DDM590035:DDM590036 DNI590035:DNI590036 DXE590035:DXE590036 EHA590035:EHA590036 EQW590035:EQW590036 FAS590035:FAS590036 FKO590035:FKO590036 FUK590035:FUK590036 GEG590035:GEG590036 GOC590035:GOC590036 GXY590035:GXY590036 HHU590035:HHU590036 HRQ590035:HRQ590036 IBM590035:IBM590036 ILI590035:ILI590036 IVE590035:IVE590036 JFA590035:JFA590036 JOW590035:JOW590036 JYS590035:JYS590036 KIO590035:KIO590036 KSK590035:KSK590036 LCG590035:LCG590036 LMC590035:LMC590036 LVY590035:LVY590036 MFU590035:MFU590036 MPQ590035:MPQ590036 MZM590035:MZM590036 NJI590035:NJI590036 NTE590035:NTE590036 ODA590035:ODA590036 OMW590035:OMW590036 OWS590035:OWS590036 PGO590035:PGO590036 PQK590035:PQK590036 QAG590035:QAG590036 QKC590035:QKC590036 QTY590035:QTY590036 RDU590035:RDU590036 RNQ590035:RNQ590036 RXM590035:RXM590036 SHI590035:SHI590036 SRE590035:SRE590036 TBA590035:TBA590036 TKW590035:TKW590036 TUS590035:TUS590036 UEO590035:UEO590036 UOK590035:UOK590036 UYG590035:UYG590036 VIC590035:VIC590036 VRY590035:VRY590036 WBU590035:WBU590036 WLQ590035:WLQ590036 WVM590035:WVM590036 E655571:E655572 JA655571:JA655572 SW655571:SW655572 ACS655571:ACS655572 AMO655571:AMO655572 AWK655571:AWK655572 BGG655571:BGG655572 BQC655571:BQC655572 BZY655571:BZY655572 CJU655571:CJU655572 CTQ655571:CTQ655572 DDM655571:DDM655572 DNI655571:DNI655572 DXE655571:DXE655572 EHA655571:EHA655572 EQW655571:EQW655572 FAS655571:FAS655572 FKO655571:FKO655572 FUK655571:FUK655572 GEG655571:GEG655572 GOC655571:GOC655572 GXY655571:GXY655572 HHU655571:HHU655572 HRQ655571:HRQ655572 IBM655571:IBM655572 ILI655571:ILI655572 IVE655571:IVE655572 JFA655571:JFA655572 JOW655571:JOW655572 JYS655571:JYS655572 KIO655571:KIO655572 KSK655571:KSK655572 LCG655571:LCG655572 LMC655571:LMC655572 LVY655571:LVY655572 MFU655571:MFU655572 MPQ655571:MPQ655572 MZM655571:MZM655572 NJI655571:NJI655572 NTE655571:NTE655572 ODA655571:ODA655572 OMW655571:OMW655572 OWS655571:OWS655572 PGO655571:PGO655572 PQK655571:PQK655572 QAG655571:QAG655572 QKC655571:QKC655572 QTY655571:QTY655572 RDU655571:RDU655572 RNQ655571:RNQ655572 RXM655571:RXM655572 SHI655571:SHI655572 SRE655571:SRE655572 TBA655571:TBA655572 TKW655571:TKW655572 TUS655571:TUS655572 UEO655571:UEO655572 UOK655571:UOK655572 UYG655571:UYG655572 VIC655571:VIC655572 VRY655571:VRY655572 WBU655571:WBU655572 WLQ655571:WLQ655572 WVM655571:WVM655572 E721107:E721108 JA721107:JA721108 SW721107:SW721108 ACS721107:ACS721108 AMO721107:AMO721108 AWK721107:AWK721108 BGG721107:BGG721108 BQC721107:BQC721108 BZY721107:BZY721108 CJU721107:CJU721108 CTQ721107:CTQ721108 DDM721107:DDM721108 DNI721107:DNI721108 DXE721107:DXE721108 EHA721107:EHA721108 EQW721107:EQW721108 FAS721107:FAS721108 FKO721107:FKO721108 FUK721107:FUK721108 GEG721107:GEG721108 GOC721107:GOC721108 GXY721107:GXY721108 HHU721107:HHU721108 HRQ721107:HRQ721108 IBM721107:IBM721108 ILI721107:ILI721108 IVE721107:IVE721108 JFA721107:JFA721108 JOW721107:JOW721108 JYS721107:JYS721108 KIO721107:KIO721108 KSK721107:KSK721108 LCG721107:LCG721108 LMC721107:LMC721108 LVY721107:LVY721108 MFU721107:MFU721108 MPQ721107:MPQ721108 MZM721107:MZM721108 NJI721107:NJI721108 NTE721107:NTE721108 ODA721107:ODA721108 OMW721107:OMW721108 OWS721107:OWS721108 PGO721107:PGO721108 PQK721107:PQK721108 QAG721107:QAG721108 QKC721107:QKC721108 QTY721107:QTY721108 RDU721107:RDU721108 RNQ721107:RNQ721108 RXM721107:RXM721108 SHI721107:SHI721108 SRE721107:SRE721108 TBA721107:TBA721108 TKW721107:TKW721108 TUS721107:TUS721108 UEO721107:UEO721108 UOK721107:UOK721108 UYG721107:UYG721108 VIC721107:VIC721108 VRY721107:VRY721108 WBU721107:WBU721108 WLQ721107:WLQ721108 WVM721107:WVM721108 E786643:E786644 JA786643:JA786644 SW786643:SW786644 ACS786643:ACS786644 AMO786643:AMO786644 AWK786643:AWK786644 BGG786643:BGG786644 BQC786643:BQC786644 BZY786643:BZY786644 CJU786643:CJU786644 CTQ786643:CTQ786644 DDM786643:DDM786644 DNI786643:DNI786644 DXE786643:DXE786644 EHA786643:EHA786644 EQW786643:EQW786644 FAS786643:FAS786644 FKO786643:FKO786644 FUK786643:FUK786644 GEG786643:GEG786644 GOC786643:GOC786644 GXY786643:GXY786644 HHU786643:HHU786644 HRQ786643:HRQ786644 IBM786643:IBM786644 ILI786643:ILI786644 IVE786643:IVE786644 JFA786643:JFA786644 JOW786643:JOW786644 JYS786643:JYS786644 KIO786643:KIO786644 KSK786643:KSK786644 LCG786643:LCG786644 LMC786643:LMC786644 LVY786643:LVY786644 MFU786643:MFU786644 MPQ786643:MPQ786644 MZM786643:MZM786644 NJI786643:NJI786644 NTE786643:NTE786644 ODA786643:ODA786644 OMW786643:OMW786644 OWS786643:OWS786644 PGO786643:PGO786644 PQK786643:PQK786644 QAG786643:QAG786644 QKC786643:QKC786644 QTY786643:QTY786644 RDU786643:RDU786644 RNQ786643:RNQ786644 RXM786643:RXM786644 SHI786643:SHI786644 SRE786643:SRE786644 TBA786643:TBA786644 TKW786643:TKW786644 TUS786643:TUS786644 UEO786643:UEO786644 UOK786643:UOK786644 UYG786643:UYG786644 VIC786643:VIC786644 VRY786643:VRY786644 WBU786643:WBU786644 WLQ786643:WLQ786644 WVM786643:WVM786644 E852179:E852180 JA852179:JA852180 SW852179:SW852180 ACS852179:ACS852180 AMO852179:AMO852180 AWK852179:AWK852180 BGG852179:BGG852180 BQC852179:BQC852180 BZY852179:BZY852180 CJU852179:CJU852180 CTQ852179:CTQ852180 DDM852179:DDM852180 DNI852179:DNI852180 DXE852179:DXE852180 EHA852179:EHA852180 EQW852179:EQW852180 FAS852179:FAS852180 FKO852179:FKO852180 FUK852179:FUK852180 GEG852179:GEG852180 GOC852179:GOC852180 GXY852179:GXY852180 HHU852179:HHU852180 HRQ852179:HRQ852180 IBM852179:IBM852180 ILI852179:ILI852180 IVE852179:IVE852180 JFA852179:JFA852180 JOW852179:JOW852180 JYS852179:JYS852180 KIO852179:KIO852180 KSK852179:KSK852180 LCG852179:LCG852180 LMC852179:LMC852180 LVY852179:LVY852180 MFU852179:MFU852180 MPQ852179:MPQ852180 MZM852179:MZM852180 NJI852179:NJI852180 NTE852179:NTE852180 ODA852179:ODA852180 OMW852179:OMW852180 OWS852179:OWS852180 PGO852179:PGO852180 PQK852179:PQK852180 QAG852179:QAG852180 QKC852179:QKC852180 QTY852179:QTY852180 RDU852179:RDU852180 RNQ852179:RNQ852180 RXM852179:RXM852180 SHI852179:SHI852180 SRE852179:SRE852180 TBA852179:TBA852180 TKW852179:TKW852180 TUS852179:TUS852180 UEO852179:UEO852180 UOK852179:UOK852180 UYG852179:UYG852180 VIC852179:VIC852180 VRY852179:VRY852180 WBU852179:WBU852180 WLQ852179:WLQ852180 WVM852179:WVM852180 E917715:E917716 JA917715:JA917716 SW917715:SW917716 ACS917715:ACS917716 AMO917715:AMO917716 AWK917715:AWK917716 BGG917715:BGG917716 BQC917715:BQC917716 BZY917715:BZY917716 CJU917715:CJU917716 CTQ917715:CTQ917716 DDM917715:DDM917716 DNI917715:DNI917716 DXE917715:DXE917716 EHA917715:EHA917716 EQW917715:EQW917716 FAS917715:FAS917716 FKO917715:FKO917716 FUK917715:FUK917716 GEG917715:GEG917716 GOC917715:GOC917716 GXY917715:GXY917716 HHU917715:HHU917716 HRQ917715:HRQ917716 IBM917715:IBM917716 ILI917715:ILI917716 IVE917715:IVE917716 JFA917715:JFA917716 JOW917715:JOW917716 JYS917715:JYS917716 KIO917715:KIO917716 KSK917715:KSK917716 LCG917715:LCG917716 LMC917715:LMC917716 LVY917715:LVY917716 MFU917715:MFU917716 MPQ917715:MPQ917716 MZM917715:MZM917716 NJI917715:NJI917716 NTE917715:NTE917716 ODA917715:ODA917716 OMW917715:OMW917716 OWS917715:OWS917716 PGO917715:PGO917716 PQK917715:PQK917716 QAG917715:QAG917716 QKC917715:QKC917716 QTY917715:QTY917716 RDU917715:RDU917716 RNQ917715:RNQ917716 RXM917715:RXM917716 SHI917715:SHI917716 SRE917715:SRE917716 TBA917715:TBA917716 TKW917715:TKW917716 TUS917715:TUS917716 UEO917715:UEO917716 UOK917715:UOK917716 UYG917715:UYG917716 VIC917715:VIC917716 VRY917715:VRY917716 WBU917715:WBU917716 WLQ917715:WLQ917716 WVM917715:WVM917716 E983251:E983252 JA983251:JA983252 SW983251:SW983252 ACS983251:ACS983252 AMO983251:AMO983252 AWK983251:AWK983252 BGG983251:BGG983252 BQC983251:BQC983252 BZY983251:BZY983252 CJU983251:CJU983252 CTQ983251:CTQ983252 DDM983251:DDM983252 DNI983251:DNI983252 DXE983251:DXE983252 EHA983251:EHA983252 EQW983251:EQW983252 FAS983251:FAS983252 FKO983251:FKO983252 FUK983251:FUK983252 GEG983251:GEG983252 GOC983251:GOC983252 GXY983251:GXY983252 HHU983251:HHU983252 HRQ983251:HRQ983252 IBM983251:IBM983252 ILI983251:ILI983252 IVE983251:IVE983252 JFA983251:JFA983252 JOW983251:JOW983252 JYS983251:JYS983252 KIO983251:KIO983252 KSK983251:KSK983252 LCG983251:LCG983252 LMC983251:LMC983252 LVY983251:LVY983252 MFU983251:MFU983252 MPQ983251:MPQ983252 MZM983251:MZM983252 NJI983251:NJI983252 NTE983251:NTE983252 ODA983251:ODA983252 OMW983251:OMW983252 OWS983251:OWS983252 PGO983251:PGO983252 PQK983251:PQK983252 QAG983251:QAG983252 QKC983251:QKC983252 QTY983251:QTY983252 RDU983251:RDU983252 RNQ983251:RNQ983252 RXM983251:RXM983252 SHI983251:SHI983252 SRE983251:SRE983252 TBA983251:TBA983252 TKW983251:TKW983252 TUS983251:TUS983252 UEO983251:UEO983252 UOK983251:UOK983252 UYG983251:UYG983252 VIC983251:VIC983252 VRY983251:VRY983252 WBU983251:WBU983252 WLQ983251:WLQ983252 WVM983251:WVM983252" xr:uid="{00000000-0002-0000-0E00-000000000000}">
      <formula1>"有り,無し"</formula1>
    </dataValidation>
  </dataValidations>
  <printOptions headings="1" gridLines="1"/>
  <pageMargins left="0.70866141732283472" right="0.70866141732283472" top="0.74803149606299213" bottom="0.74803149606299213" header="0.31496062992125984" footer="0.31496062992125984"/>
  <pageSetup paperSize="9" scale="65" fitToHeight="7" orientation="landscape" cellComments="asDisplayed" r:id="rId1"/>
  <rowBreaks count="6" manualBreakCount="6">
    <brk id="62" max="11" man="1"/>
    <brk id="107" max="11" man="1"/>
    <brk id="148" max="11" man="1"/>
    <brk id="207" max="11" man="1"/>
    <brk id="252" max="11" man="1"/>
    <brk id="293" max="11" man="1"/>
  </rowBreak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IV509"/>
  <sheetViews>
    <sheetView view="pageBreakPreview" zoomScale="85" zoomScaleNormal="115" zoomScaleSheetLayoutView="85" workbookViewId="0">
      <selection activeCell="B1" sqref="B1"/>
    </sheetView>
  </sheetViews>
  <sheetFormatPr baseColWidth="10" defaultColWidth="8.83203125" defaultRowHeight="13.5" customHeight="1"/>
  <cols>
    <col min="1" max="1" width="2.5" style="2033" customWidth="1"/>
    <col min="2" max="2" width="2.83203125" style="2033" customWidth="1"/>
    <col min="3" max="3" width="21.6640625" style="2033" customWidth="1"/>
    <col min="4" max="4" width="3.5" style="2033" customWidth="1"/>
    <col min="5" max="5" width="5.6640625" style="2033" customWidth="1"/>
    <col min="6" max="6" width="15.1640625" style="2033" customWidth="1"/>
    <col min="7" max="14" width="18.1640625" style="2543" customWidth="1"/>
    <col min="15" max="256" width="9" style="1771"/>
    <col min="257" max="257" width="2.5" style="1771" customWidth="1"/>
    <col min="258" max="258" width="2.83203125" style="1771" customWidth="1"/>
    <col min="259" max="259" width="21.6640625" style="1771" customWidth="1"/>
    <col min="260" max="260" width="3.5" style="1771" customWidth="1"/>
    <col min="261" max="261" width="5.6640625" style="1771" customWidth="1"/>
    <col min="262" max="262" width="15.1640625" style="1771" customWidth="1"/>
    <col min="263" max="270" width="18.1640625" style="1771" customWidth="1"/>
    <col min="271" max="512" width="9" style="1771"/>
    <col min="513" max="513" width="2.5" style="1771" customWidth="1"/>
    <col min="514" max="514" width="2.83203125" style="1771" customWidth="1"/>
    <col min="515" max="515" width="21.6640625" style="1771" customWidth="1"/>
    <col min="516" max="516" width="3.5" style="1771" customWidth="1"/>
    <col min="517" max="517" width="5.6640625" style="1771" customWidth="1"/>
    <col min="518" max="518" width="15.1640625" style="1771" customWidth="1"/>
    <col min="519" max="526" width="18.1640625" style="1771" customWidth="1"/>
    <col min="527" max="768" width="9" style="1771"/>
    <col min="769" max="769" width="2.5" style="1771" customWidth="1"/>
    <col min="770" max="770" width="2.83203125" style="1771" customWidth="1"/>
    <col min="771" max="771" width="21.6640625" style="1771" customWidth="1"/>
    <col min="772" max="772" width="3.5" style="1771" customWidth="1"/>
    <col min="773" max="773" width="5.6640625" style="1771" customWidth="1"/>
    <col min="774" max="774" width="15.1640625" style="1771" customWidth="1"/>
    <col min="775" max="782" width="18.1640625" style="1771" customWidth="1"/>
    <col min="783" max="1024" width="9" style="1771"/>
    <col min="1025" max="1025" width="2.5" style="1771" customWidth="1"/>
    <col min="1026" max="1026" width="2.83203125" style="1771" customWidth="1"/>
    <col min="1027" max="1027" width="21.6640625" style="1771" customWidth="1"/>
    <col min="1028" max="1028" width="3.5" style="1771" customWidth="1"/>
    <col min="1029" max="1029" width="5.6640625" style="1771" customWidth="1"/>
    <col min="1030" max="1030" width="15.1640625" style="1771" customWidth="1"/>
    <col min="1031" max="1038" width="18.1640625" style="1771" customWidth="1"/>
    <col min="1039" max="1280" width="9" style="1771"/>
    <col min="1281" max="1281" width="2.5" style="1771" customWidth="1"/>
    <col min="1282" max="1282" width="2.83203125" style="1771" customWidth="1"/>
    <col min="1283" max="1283" width="21.6640625" style="1771" customWidth="1"/>
    <col min="1284" max="1284" width="3.5" style="1771" customWidth="1"/>
    <col min="1285" max="1285" width="5.6640625" style="1771" customWidth="1"/>
    <col min="1286" max="1286" width="15.1640625" style="1771" customWidth="1"/>
    <col min="1287" max="1294" width="18.1640625" style="1771" customWidth="1"/>
    <col min="1295" max="1536" width="9" style="1771"/>
    <col min="1537" max="1537" width="2.5" style="1771" customWidth="1"/>
    <col min="1538" max="1538" width="2.83203125" style="1771" customWidth="1"/>
    <col min="1539" max="1539" width="21.6640625" style="1771" customWidth="1"/>
    <col min="1540" max="1540" width="3.5" style="1771" customWidth="1"/>
    <col min="1541" max="1541" width="5.6640625" style="1771" customWidth="1"/>
    <col min="1542" max="1542" width="15.1640625" style="1771" customWidth="1"/>
    <col min="1543" max="1550" width="18.1640625" style="1771" customWidth="1"/>
    <col min="1551" max="1792" width="9" style="1771"/>
    <col min="1793" max="1793" width="2.5" style="1771" customWidth="1"/>
    <col min="1794" max="1794" width="2.83203125" style="1771" customWidth="1"/>
    <col min="1795" max="1795" width="21.6640625" style="1771" customWidth="1"/>
    <col min="1796" max="1796" width="3.5" style="1771" customWidth="1"/>
    <col min="1797" max="1797" width="5.6640625" style="1771" customWidth="1"/>
    <col min="1798" max="1798" width="15.1640625" style="1771" customWidth="1"/>
    <col min="1799" max="1806" width="18.1640625" style="1771" customWidth="1"/>
    <col min="1807" max="2048" width="9" style="1771"/>
    <col min="2049" max="2049" width="2.5" style="1771" customWidth="1"/>
    <col min="2050" max="2050" width="2.83203125" style="1771" customWidth="1"/>
    <col min="2051" max="2051" width="21.6640625" style="1771" customWidth="1"/>
    <col min="2052" max="2052" width="3.5" style="1771" customWidth="1"/>
    <col min="2053" max="2053" width="5.6640625" style="1771" customWidth="1"/>
    <col min="2054" max="2054" width="15.1640625" style="1771" customWidth="1"/>
    <col min="2055" max="2062" width="18.1640625" style="1771" customWidth="1"/>
    <col min="2063" max="2304" width="9" style="1771"/>
    <col min="2305" max="2305" width="2.5" style="1771" customWidth="1"/>
    <col min="2306" max="2306" width="2.83203125" style="1771" customWidth="1"/>
    <col min="2307" max="2307" width="21.6640625" style="1771" customWidth="1"/>
    <col min="2308" max="2308" width="3.5" style="1771" customWidth="1"/>
    <col min="2309" max="2309" width="5.6640625" style="1771" customWidth="1"/>
    <col min="2310" max="2310" width="15.1640625" style="1771" customWidth="1"/>
    <col min="2311" max="2318" width="18.1640625" style="1771" customWidth="1"/>
    <col min="2319" max="2560" width="9" style="1771"/>
    <col min="2561" max="2561" width="2.5" style="1771" customWidth="1"/>
    <col min="2562" max="2562" width="2.83203125" style="1771" customWidth="1"/>
    <col min="2563" max="2563" width="21.6640625" style="1771" customWidth="1"/>
    <col min="2564" max="2564" width="3.5" style="1771" customWidth="1"/>
    <col min="2565" max="2565" width="5.6640625" style="1771" customWidth="1"/>
    <col min="2566" max="2566" width="15.1640625" style="1771" customWidth="1"/>
    <col min="2567" max="2574" width="18.1640625" style="1771" customWidth="1"/>
    <col min="2575" max="2816" width="9" style="1771"/>
    <col min="2817" max="2817" width="2.5" style="1771" customWidth="1"/>
    <col min="2818" max="2818" width="2.83203125" style="1771" customWidth="1"/>
    <col min="2819" max="2819" width="21.6640625" style="1771" customWidth="1"/>
    <col min="2820" max="2820" width="3.5" style="1771" customWidth="1"/>
    <col min="2821" max="2821" width="5.6640625" style="1771" customWidth="1"/>
    <col min="2822" max="2822" width="15.1640625" style="1771" customWidth="1"/>
    <col min="2823" max="2830" width="18.1640625" style="1771" customWidth="1"/>
    <col min="2831" max="3072" width="9" style="1771"/>
    <col min="3073" max="3073" width="2.5" style="1771" customWidth="1"/>
    <col min="3074" max="3074" width="2.83203125" style="1771" customWidth="1"/>
    <col min="3075" max="3075" width="21.6640625" style="1771" customWidth="1"/>
    <col min="3076" max="3076" width="3.5" style="1771" customWidth="1"/>
    <col min="3077" max="3077" width="5.6640625" style="1771" customWidth="1"/>
    <col min="3078" max="3078" width="15.1640625" style="1771" customWidth="1"/>
    <col min="3079" max="3086" width="18.1640625" style="1771" customWidth="1"/>
    <col min="3087" max="3328" width="9" style="1771"/>
    <col min="3329" max="3329" width="2.5" style="1771" customWidth="1"/>
    <col min="3330" max="3330" width="2.83203125" style="1771" customWidth="1"/>
    <col min="3331" max="3331" width="21.6640625" style="1771" customWidth="1"/>
    <col min="3332" max="3332" width="3.5" style="1771" customWidth="1"/>
    <col min="3333" max="3333" width="5.6640625" style="1771" customWidth="1"/>
    <col min="3334" max="3334" width="15.1640625" style="1771" customWidth="1"/>
    <col min="3335" max="3342" width="18.1640625" style="1771" customWidth="1"/>
    <col min="3343" max="3584" width="9" style="1771"/>
    <col min="3585" max="3585" width="2.5" style="1771" customWidth="1"/>
    <col min="3586" max="3586" width="2.83203125" style="1771" customWidth="1"/>
    <col min="3587" max="3587" width="21.6640625" style="1771" customWidth="1"/>
    <col min="3588" max="3588" width="3.5" style="1771" customWidth="1"/>
    <col min="3589" max="3589" width="5.6640625" style="1771" customWidth="1"/>
    <col min="3590" max="3590" width="15.1640625" style="1771" customWidth="1"/>
    <col min="3591" max="3598" width="18.1640625" style="1771" customWidth="1"/>
    <col min="3599" max="3840" width="9" style="1771"/>
    <col min="3841" max="3841" width="2.5" style="1771" customWidth="1"/>
    <col min="3842" max="3842" width="2.83203125" style="1771" customWidth="1"/>
    <col min="3843" max="3843" width="21.6640625" style="1771" customWidth="1"/>
    <col min="3844" max="3844" width="3.5" style="1771" customWidth="1"/>
    <col min="3845" max="3845" width="5.6640625" style="1771" customWidth="1"/>
    <col min="3846" max="3846" width="15.1640625" style="1771" customWidth="1"/>
    <col min="3847" max="3854" width="18.1640625" style="1771" customWidth="1"/>
    <col min="3855" max="4096" width="9" style="1771"/>
    <col min="4097" max="4097" width="2.5" style="1771" customWidth="1"/>
    <col min="4098" max="4098" width="2.83203125" style="1771" customWidth="1"/>
    <col min="4099" max="4099" width="21.6640625" style="1771" customWidth="1"/>
    <col min="4100" max="4100" width="3.5" style="1771" customWidth="1"/>
    <col min="4101" max="4101" width="5.6640625" style="1771" customWidth="1"/>
    <col min="4102" max="4102" width="15.1640625" style="1771" customWidth="1"/>
    <col min="4103" max="4110" width="18.1640625" style="1771" customWidth="1"/>
    <col min="4111" max="4352" width="9" style="1771"/>
    <col min="4353" max="4353" width="2.5" style="1771" customWidth="1"/>
    <col min="4354" max="4354" width="2.83203125" style="1771" customWidth="1"/>
    <col min="4355" max="4355" width="21.6640625" style="1771" customWidth="1"/>
    <col min="4356" max="4356" width="3.5" style="1771" customWidth="1"/>
    <col min="4357" max="4357" width="5.6640625" style="1771" customWidth="1"/>
    <col min="4358" max="4358" width="15.1640625" style="1771" customWidth="1"/>
    <col min="4359" max="4366" width="18.1640625" style="1771" customWidth="1"/>
    <col min="4367" max="4608" width="9" style="1771"/>
    <col min="4609" max="4609" width="2.5" style="1771" customWidth="1"/>
    <col min="4610" max="4610" width="2.83203125" style="1771" customWidth="1"/>
    <col min="4611" max="4611" width="21.6640625" style="1771" customWidth="1"/>
    <col min="4612" max="4612" width="3.5" style="1771" customWidth="1"/>
    <col min="4613" max="4613" width="5.6640625" style="1771" customWidth="1"/>
    <col min="4614" max="4614" width="15.1640625" style="1771" customWidth="1"/>
    <col min="4615" max="4622" width="18.1640625" style="1771" customWidth="1"/>
    <col min="4623" max="4864" width="9" style="1771"/>
    <col min="4865" max="4865" width="2.5" style="1771" customWidth="1"/>
    <col min="4866" max="4866" width="2.83203125" style="1771" customWidth="1"/>
    <col min="4867" max="4867" width="21.6640625" style="1771" customWidth="1"/>
    <col min="4868" max="4868" width="3.5" style="1771" customWidth="1"/>
    <col min="4869" max="4869" width="5.6640625" style="1771" customWidth="1"/>
    <col min="4870" max="4870" width="15.1640625" style="1771" customWidth="1"/>
    <col min="4871" max="4878" width="18.1640625" style="1771" customWidth="1"/>
    <col min="4879" max="5120" width="9" style="1771"/>
    <col min="5121" max="5121" width="2.5" style="1771" customWidth="1"/>
    <col min="5122" max="5122" width="2.83203125" style="1771" customWidth="1"/>
    <col min="5123" max="5123" width="21.6640625" style="1771" customWidth="1"/>
    <col min="5124" max="5124" width="3.5" style="1771" customWidth="1"/>
    <col min="5125" max="5125" width="5.6640625" style="1771" customWidth="1"/>
    <col min="5126" max="5126" width="15.1640625" style="1771" customWidth="1"/>
    <col min="5127" max="5134" width="18.1640625" style="1771" customWidth="1"/>
    <col min="5135" max="5376" width="9" style="1771"/>
    <col min="5377" max="5377" width="2.5" style="1771" customWidth="1"/>
    <col min="5378" max="5378" width="2.83203125" style="1771" customWidth="1"/>
    <col min="5379" max="5379" width="21.6640625" style="1771" customWidth="1"/>
    <col min="5380" max="5380" width="3.5" style="1771" customWidth="1"/>
    <col min="5381" max="5381" width="5.6640625" style="1771" customWidth="1"/>
    <col min="5382" max="5382" width="15.1640625" style="1771" customWidth="1"/>
    <col min="5383" max="5390" width="18.1640625" style="1771" customWidth="1"/>
    <col min="5391" max="5632" width="9" style="1771"/>
    <col min="5633" max="5633" width="2.5" style="1771" customWidth="1"/>
    <col min="5634" max="5634" width="2.83203125" style="1771" customWidth="1"/>
    <col min="5635" max="5635" width="21.6640625" style="1771" customWidth="1"/>
    <col min="5636" max="5636" width="3.5" style="1771" customWidth="1"/>
    <col min="5637" max="5637" width="5.6640625" style="1771" customWidth="1"/>
    <col min="5638" max="5638" width="15.1640625" style="1771" customWidth="1"/>
    <col min="5639" max="5646" width="18.1640625" style="1771" customWidth="1"/>
    <col min="5647" max="5888" width="9" style="1771"/>
    <col min="5889" max="5889" width="2.5" style="1771" customWidth="1"/>
    <col min="5890" max="5890" width="2.83203125" style="1771" customWidth="1"/>
    <col min="5891" max="5891" width="21.6640625" style="1771" customWidth="1"/>
    <col min="5892" max="5892" width="3.5" style="1771" customWidth="1"/>
    <col min="5893" max="5893" width="5.6640625" style="1771" customWidth="1"/>
    <col min="5894" max="5894" width="15.1640625" style="1771" customWidth="1"/>
    <col min="5895" max="5902" width="18.1640625" style="1771" customWidth="1"/>
    <col min="5903" max="6144" width="9" style="1771"/>
    <col min="6145" max="6145" width="2.5" style="1771" customWidth="1"/>
    <col min="6146" max="6146" width="2.83203125" style="1771" customWidth="1"/>
    <col min="6147" max="6147" width="21.6640625" style="1771" customWidth="1"/>
    <col min="6148" max="6148" width="3.5" style="1771" customWidth="1"/>
    <col min="6149" max="6149" width="5.6640625" style="1771" customWidth="1"/>
    <col min="6150" max="6150" width="15.1640625" style="1771" customWidth="1"/>
    <col min="6151" max="6158" width="18.1640625" style="1771" customWidth="1"/>
    <col min="6159" max="6400" width="9" style="1771"/>
    <col min="6401" max="6401" width="2.5" style="1771" customWidth="1"/>
    <col min="6402" max="6402" width="2.83203125" style="1771" customWidth="1"/>
    <col min="6403" max="6403" width="21.6640625" style="1771" customWidth="1"/>
    <col min="6404" max="6404" width="3.5" style="1771" customWidth="1"/>
    <col min="6405" max="6405" width="5.6640625" style="1771" customWidth="1"/>
    <col min="6406" max="6406" width="15.1640625" style="1771" customWidth="1"/>
    <col min="6407" max="6414" width="18.1640625" style="1771" customWidth="1"/>
    <col min="6415" max="6656" width="9" style="1771"/>
    <col min="6657" max="6657" width="2.5" style="1771" customWidth="1"/>
    <col min="6658" max="6658" width="2.83203125" style="1771" customWidth="1"/>
    <col min="6659" max="6659" width="21.6640625" style="1771" customWidth="1"/>
    <col min="6660" max="6660" width="3.5" style="1771" customWidth="1"/>
    <col min="6661" max="6661" width="5.6640625" style="1771" customWidth="1"/>
    <col min="6662" max="6662" width="15.1640625" style="1771" customWidth="1"/>
    <col min="6663" max="6670" width="18.1640625" style="1771" customWidth="1"/>
    <col min="6671" max="6912" width="9" style="1771"/>
    <col min="6913" max="6913" width="2.5" style="1771" customWidth="1"/>
    <col min="6914" max="6914" width="2.83203125" style="1771" customWidth="1"/>
    <col min="6915" max="6915" width="21.6640625" style="1771" customWidth="1"/>
    <col min="6916" max="6916" width="3.5" style="1771" customWidth="1"/>
    <col min="6917" max="6917" width="5.6640625" style="1771" customWidth="1"/>
    <col min="6918" max="6918" width="15.1640625" style="1771" customWidth="1"/>
    <col min="6919" max="6926" width="18.1640625" style="1771" customWidth="1"/>
    <col min="6927" max="7168" width="9" style="1771"/>
    <col min="7169" max="7169" width="2.5" style="1771" customWidth="1"/>
    <col min="7170" max="7170" width="2.83203125" style="1771" customWidth="1"/>
    <col min="7171" max="7171" width="21.6640625" style="1771" customWidth="1"/>
    <col min="7172" max="7172" width="3.5" style="1771" customWidth="1"/>
    <col min="7173" max="7173" width="5.6640625" style="1771" customWidth="1"/>
    <col min="7174" max="7174" width="15.1640625" style="1771" customWidth="1"/>
    <col min="7175" max="7182" width="18.1640625" style="1771" customWidth="1"/>
    <col min="7183" max="7424" width="9" style="1771"/>
    <col min="7425" max="7425" width="2.5" style="1771" customWidth="1"/>
    <col min="7426" max="7426" width="2.83203125" style="1771" customWidth="1"/>
    <col min="7427" max="7427" width="21.6640625" style="1771" customWidth="1"/>
    <col min="7428" max="7428" width="3.5" style="1771" customWidth="1"/>
    <col min="7429" max="7429" width="5.6640625" style="1771" customWidth="1"/>
    <col min="7430" max="7430" width="15.1640625" style="1771" customWidth="1"/>
    <col min="7431" max="7438" width="18.1640625" style="1771" customWidth="1"/>
    <col min="7439" max="7680" width="9" style="1771"/>
    <col min="7681" max="7681" width="2.5" style="1771" customWidth="1"/>
    <col min="7682" max="7682" width="2.83203125" style="1771" customWidth="1"/>
    <col min="7683" max="7683" width="21.6640625" style="1771" customWidth="1"/>
    <col min="7684" max="7684" width="3.5" style="1771" customWidth="1"/>
    <col min="7685" max="7685" width="5.6640625" style="1771" customWidth="1"/>
    <col min="7686" max="7686" width="15.1640625" style="1771" customWidth="1"/>
    <col min="7687" max="7694" width="18.1640625" style="1771" customWidth="1"/>
    <col min="7695" max="7936" width="9" style="1771"/>
    <col min="7937" max="7937" width="2.5" style="1771" customWidth="1"/>
    <col min="7938" max="7938" width="2.83203125" style="1771" customWidth="1"/>
    <col min="7939" max="7939" width="21.6640625" style="1771" customWidth="1"/>
    <col min="7940" max="7940" width="3.5" style="1771" customWidth="1"/>
    <col min="7941" max="7941" width="5.6640625" style="1771" customWidth="1"/>
    <col min="7942" max="7942" width="15.1640625" style="1771" customWidth="1"/>
    <col min="7943" max="7950" width="18.1640625" style="1771" customWidth="1"/>
    <col min="7951" max="8192" width="9" style="1771"/>
    <col min="8193" max="8193" width="2.5" style="1771" customWidth="1"/>
    <col min="8194" max="8194" width="2.83203125" style="1771" customWidth="1"/>
    <col min="8195" max="8195" width="21.6640625" style="1771" customWidth="1"/>
    <col min="8196" max="8196" width="3.5" style="1771" customWidth="1"/>
    <col min="8197" max="8197" width="5.6640625" style="1771" customWidth="1"/>
    <col min="8198" max="8198" width="15.1640625" style="1771" customWidth="1"/>
    <col min="8199" max="8206" width="18.1640625" style="1771" customWidth="1"/>
    <col min="8207" max="8448" width="9" style="1771"/>
    <col min="8449" max="8449" width="2.5" style="1771" customWidth="1"/>
    <col min="8450" max="8450" width="2.83203125" style="1771" customWidth="1"/>
    <col min="8451" max="8451" width="21.6640625" style="1771" customWidth="1"/>
    <col min="8452" max="8452" width="3.5" style="1771" customWidth="1"/>
    <col min="8453" max="8453" width="5.6640625" style="1771" customWidth="1"/>
    <col min="8454" max="8454" width="15.1640625" style="1771" customWidth="1"/>
    <col min="8455" max="8462" width="18.1640625" style="1771" customWidth="1"/>
    <col min="8463" max="8704" width="9" style="1771"/>
    <col min="8705" max="8705" width="2.5" style="1771" customWidth="1"/>
    <col min="8706" max="8706" width="2.83203125" style="1771" customWidth="1"/>
    <col min="8707" max="8707" width="21.6640625" style="1771" customWidth="1"/>
    <col min="8708" max="8708" width="3.5" style="1771" customWidth="1"/>
    <col min="8709" max="8709" width="5.6640625" style="1771" customWidth="1"/>
    <col min="8710" max="8710" width="15.1640625" style="1771" customWidth="1"/>
    <col min="8711" max="8718" width="18.1640625" style="1771" customWidth="1"/>
    <col min="8719" max="8960" width="9" style="1771"/>
    <col min="8961" max="8961" width="2.5" style="1771" customWidth="1"/>
    <col min="8962" max="8962" width="2.83203125" style="1771" customWidth="1"/>
    <col min="8963" max="8963" width="21.6640625" style="1771" customWidth="1"/>
    <col min="8964" max="8964" width="3.5" style="1771" customWidth="1"/>
    <col min="8965" max="8965" width="5.6640625" style="1771" customWidth="1"/>
    <col min="8966" max="8966" width="15.1640625" style="1771" customWidth="1"/>
    <col min="8967" max="8974" width="18.1640625" style="1771" customWidth="1"/>
    <col min="8975" max="9216" width="9" style="1771"/>
    <col min="9217" max="9217" width="2.5" style="1771" customWidth="1"/>
    <col min="9218" max="9218" width="2.83203125" style="1771" customWidth="1"/>
    <col min="9219" max="9219" width="21.6640625" style="1771" customWidth="1"/>
    <col min="9220" max="9220" width="3.5" style="1771" customWidth="1"/>
    <col min="9221" max="9221" width="5.6640625" style="1771" customWidth="1"/>
    <col min="9222" max="9222" width="15.1640625" style="1771" customWidth="1"/>
    <col min="9223" max="9230" width="18.1640625" style="1771" customWidth="1"/>
    <col min="9231" max="9472" width="9" style="1771"/>
    <col min="9473" max="9473" width="2.5" style="1771" customWidth="1"/>
    <col min="9474" max="9474" width="2.83203125" style="1771" customWidth="1"/>
    <col min="9475" max="9475" width="21.6640625" style="1771" customWidth="1"/>
    <col min="9476" max="9476" width="3.5" style="1771" customWidth="1"/>
    <col min="9477" max="9477" width="5.6640625" style="1771" customWidth="1"/>
    <col min="9478" max="9478" width="15.1640625" style="1771" customWidth="1"/>
    <col min="9479" max="9486" width="18.1640625" style="1771" customWidth="1"/>
    <col min="9487" max="9728" width="9" style="1771"/>
    <col min="9729" max="9729" width="2.5" style="1771" customWidth="1"/>
    <col min="9730" max="9730" width="2.83203125" style="1771" customWidth="1"/>
    <col min="9731" max="9731" width="21.6640625" style="1771" customWidth="1"/>
    <col min="9732" max="9732" width="3.5" style="1771" customWidth="1"/>
    <col min="9733" max="9733" width="5.6640625" style="1771" customWidth="1"/>
    <col min="9734" max="9734" width="15.1640625" style="1771" customWidth="1"/>
    <col min="9735" max="9742" width="18.1640625" style="1771" customWidth="1"/>
    <col min="9743" max="9984" width="9" style="1771"/>
    <col min="9985" max="9985" width="2.5" style="1771" customWidth="1"/>
    <col min="9986" max="9986" width="2.83203125" style="1771" customWidth="1"/>
    <col min="9987" max="9987" width="21.6640625" style="1771" customWidth="1"/>
    <col min="9988" max="9988" width="3.5" style="1771" customWidth="1"/>
    <col min="9989" max="9989" width="5.6640625" style="1771" customWidth="1"/>
    <col min="9990" max="9990" width="15.1640625" style="1771" customWidth="1"/>
    <col min="9991" max="9998" width="18.1640625" style="1771" customWidth="1"/>
    <col min="9999" max="10240" width="9" style="1771"/>
    <col min="10241" max="10241" width="2.5" style="1771" customWidth="1"/>
    <col min="10242" max="10242" width="2.83203125" style="1771" customWidth="1"/>
    <col min="10243" max="10243" width="21.6640625" style="1771" customWidth="1"/>
    <col min="10244" max="10244" width="3.5" style="1771" customWidth="1"/>
    <col min="10245" max="10245" width="5.6640625" style="1771" customWidth="1"/>
    <col min="10246" max="10246" width="15.1640625" style="1771" customWidth="1"/>
    <col min="10247" max="10254" width="18.1640625" style="1771" customWidth="1"/>
    <col min="10255" max="10496" width="9" style="1771"/>
    <col min="10497" max="10497" width="2.5" style="1771" customWidth="1"/>
    <col min="10498" max="10498" width="2.83203125" style="1771" customWidth="1"/>
    <col min="10499" max="10499" width="21.6640625" style="1771" customWidth="1"/>
    <col min="10500" max="10500" width="3.5" style="1771" customWidth="1"/>
    <col min="10501" max="10501" width="5.6640625" style="1771" customWidth="1"/>
    <col min="10502" max="10502" width="15.1640625" style="1771" customWidth="1"/>
    <col min="10503" max="10510" width="18.1640625" style="1771" customWidth="1"/>
    <col min="10511" max="10752" width="9" style="1771"/>
    <col min="10753" max="10753" width="2.5" style="1771" customWidth="1"/>
    <col min="10754" max="10754" width="2.83203125" style="1771" customWidth="1"/>
    <col min="10755" max="10755" width="21.6640625" style="1771" customWidth="1"/>
    <col min="10756" max="10756" width="3.5" style="1771" customWidth="1"/>
    <col min="10757" max="10757" width="5.6640625" style="1771" customWidth="1"/>
    <col min="10758" max="10758" width="15.1640625" style="1771" customWidth="1"/>
    <col min="10759" max="10766" width="18.1640625" style="1771" customWidth="1"/>
    <col min="10767" max="11008" width="9" style="1771"/>
    <col min="11009" max="11009" width="2.5" style="1771" customWidth="1"/>
    <col min="11010" max="11010" width="2.83203125" style="1771" customWidth="1"/>
    <col min="11011" max="11011" width="21.6640625" style="1771" customWidth="1"/>
    <col min="11012" max="11012" width="3.5" style="1771" customWidth="1"/>
    <col min="11013" max="11013" width="5.6640625" style="1771" customWidth="1"/>
    <col min="11014" max="11014" width="15.1640625" style="1771" customWidth="1"/>
    <col min="11015" max="11022" width="18.1640625" style="1771" customWidth="1"/>
    <col min="11023" max="11264" width="9" style="1771"/>
    <col min="11265" max="11265" width="2.5" style="1771" customWidth="1"/>
    <col min="11266" max="11266" width="2.83203125" style="1771" customWidth="1"/>
    <col min="11267" max="11267" width="21.6640625" style="1771" customWidth="1"/>
    <col min="11268" max="11268" width="3.5" style="1771" customWidth="1"/>
    <col min="11269" max="11269" width="5.6640625" style="1771" customWidth="1"/>
    <col min="11270" max="11270" width="15.1640625" style="1771" customWidth="1"/>
    <col min="11271" max="11278" width="18.1640625" style="1771" customWidth="1"/>
    <col min="11279" max="11520" width="9" style="1771"/>
    <col min="11521" max="11521" width="2.5" style="1771" customWidth="1"/>
    <col min="11522" max="11522" width="2.83203125" style="1771" customWidth="1"/>
    <col min="11523" max="11523" width="21.6640625" style="1771" customWidth="1"/>
    <col min="11524" max="11524" width="3.5" style="1771" customWidth="1"/>
    <col min="11525" max="11525" width="5.6640625" style="1771" customWidth="1"/>
    <col min="11526" max="11526" width="15.1640625" style="1771" customWidth="1"/>
    <col min="11527" max="11534" width="18.1640625" style="1771" customWidth="1"/>
    <col min="11535" max="11776" width="9" style="1771"/>
    <col min="11777" max="11777" width="2.5" style="1771" customWidth="1"/>
    <col min="11778" max="11778" width="2.83203125" style="1771" customWidth="1"/>
    <col min="11779" max="11779" width="21.6640625" style="1771" customWidth="1"/>
    <col min="11780" max="11780" width="3.5" style="1771" customWidth="1"/>
    <col min="11781" max="11781" width="5.6640625" style="1771" customWidth="1"/>
    <col min="11782" max="11782" width="15.1640625" style="1771" customWidth="1"/>
    <col min="11783" max="11790" width="18.1640625" style="1771" customWidth="1"/>
    <col min="11791" max="12032" width="9" style="1771"/>
    <col min="12033" max="12033" width="2.5" style="1771" customWidth="1"/>
    <col min="12034" max="12034" width="2.83203125" style="1771" customWidth="1"/>
    <col min="12035" max="12035" width="21.6640625" style="1771" customWidth="1"/>
    <col min="12036" max="12036" width="3.5" style="1771" customWidth="1"/>
    <col min="12037" max="12037" width="5.6640625" style="1771" customWidth="1"/>
    <col min="12038" max="12038" width="15.1640625" style="1771" customWidth="1"/>
    <col min="12039" max="12046" width="18.1640625" style="1771" customWidth="1"/>
    <col min="12047" max="12288" width="9" style="1771"/>
    <col min="12289" max="12289" width="2.5" style="1771" customWidth="1"/>
    <col min="12290" max="12290" width="2.83203125" style="1771" customWidth="1"/>
    <col min="12291" max="12291" width="21.6640625" style="1771" customWidth="1"/>
    <col min="12292" max="12292" width="3.5" style="1771" customWidth="1"/>
    <col min="12293" max="12293" width="5.6640625" style="1771" customWidth="1"/>
    <col min="12294" max="12294" width="15.1640625" style="1771" customWidth="1"/>
    <col min="12295" max="12302" width="18.1640625" style="1771" customWidth="1"/>
    <col min="12303" max="12544" width="9" style="1771"/>
    <col min="12545" max="12545" width="2.5" style="1771" customWidth="1"/>
    <col min="12546" max="12546" width="2.83203125" style="1771" customWidth="1"/>
    <col min="12547" max="12547" width="21.6640625" style="1771" customWidth="1"/>
    <col min="12548" max="12548" width="3.5" style="1771" customWidth="1"/>
    <col min="12549" max="12549" width="5.6640625" style="1771" customWidth="1"/>
    <col min="12550" max="12550" width="15.1640625" style="1771" customWidth="1"/>
    <col min="12551" max="12558" width="18.1640625" style="1771" customWidth="1"/>
    <col min="12559" max="12800" width="9" style="1771"/>
    <col min="12801" max="12801" width="2.5" style="1771" customWidth="1"/>
    <col min="12802" max="12802" width="2.83203125" style="1771" customWidth="1"/>
    <col min="12803" max="12803" width="21.6640625" style="1771" customWidth="1"/>
    <col min="12804" max="12804" width="3.5" style="1771" customWidth="1"/>
    <col min="12805" max="12805" width="5.6640625" style="1771" customWidth="1"/>
    <col min="12806" max="12806" width="15.1640625" style="1771" customWidth="1"/>
    <col min="12807" max="12814" width="18.1640625" style="1771" customWidth="1"/>
    <col min="12815" max="13056" width="9" style="1771"/>
    <col min="13057" max="13057" width="2.5" style="1771" customWidth="1"/>
    <col min="13058" max="13058" width="2.83203125" style="1771" customWidth="1"/>
    <col min="13059" max="13059" width="21.6640625" style="1771" customWidth="1"/>
    <col min="13060" max="13060" width="3.5" style="1771" customWidth="1"/>
    <col min="13061" max="13061" width="5.6640625" style="1771" customWidth="1"/>
    <col min="13062" max="13062" width="15.1640625" style="1771" customWidth="1"/>
    <col min="13063" max="13070" width="18.1640625" style="1771" customWidth="1"/>
    <col min="13071" max="13312" width="9" style="1771"/>
    <col min="13313" max="13313" width="2.5" style="1771" customWidth="1"/>
    <col min="13314" max="13314" width="2.83203125" style="1771" customWidth="1"/>
    <col min="13315" max="13315" width="21.6640625" style="1771" customWidth="1"/>
    <col min="13316" max="13316" width="3.5" style="1771" customWidth="1"/>
    <col min="13317" max="13317" width="5.6640625" style="1771" customWidth="1"/>
    <col min="13318" max="13318" width="15.1640625" style="1771" customWidth="1"/>
    <col min="13319" max="13326" width="18.1640625" style="1771" customWidth="1"/>
    <col min="13327" max="13568" width="9" style="1771"/>
    <col min="13569" max="13569" width="2.5" style="1771" customWidth="1"/>
    <col min="13570" max="13570" width="2.83203125" style="1771" customWidth="1"/>
    <col min="13571" max="13571" width="21.6640625" style="1771" customWidth="1"/>
    <col min="13572" max="13572" width="3.5" style="1771" customWidth="1"/>
    <col min="13573" max="13573" width="5.6640625" style="1771" customWidth="1"/>
    <col min="13574" max="13574" width="15.1640625" style="1771" customWidth="1"/>
    <col min="13575" max="13582" width="18.1640625" style="1771" customWidth="1"/>
    <col min="13583" max="13824" width="9" style="1771"/>
    <col min="13825" max="13825" width="2.5" style="1771" customWidth="1"/>
    <col min="13826" max="13826" width="2.83203125" style="1771" customWidth="1"/>
    <col min="13827" max="13827" width="21.6640625" style="1771" customWidth="1"/>
    <col min="13828" max="13828" width="3.5" style="1771" customWidth="1"/>
    <col min="13829" max="13829" width="5.6640625" style="1771" customWidth="1"/>
    <col min="13830" max="13830" width="15.1640625" style="1771" customWidth="1"/>
    <col min="13831" max="13838" width="18.1640625" style="1771" customWidth="1"/>
    <col min="13839" max="14080" width="9" style="1771"/>
    <col min="14081" max="14081" width="2.5" style="1771" customWidth="1"/>
    <col min="14082" max="14082" width="2.83203125" style="1771" customWidth="1"/>
    <col min="14083" max="14083" width="21.6640625" style="1771" customWidth="1"/>
    <col min="14084" max="14084" width="3.5" style="1771" customWidth="1"/>
    <col min="14085" max="14085" width="5.6640625" style="1771" customWidth="1"/>
    <col min="14086" max="14086" width="15.1640625" style="1771" customWidth="1"/>
    <col min="14087" max="14094" width="18.1640625" style="1771" customWidth="1"/>
    <col min="14095" max="14336" width="9" style="1771"/>
    <col min="14337" max="14337" width="2.5" style="1771" customWidth="1"/>
    <col min="14338" max="14338" width="2.83203125" style="1771" customWidth="1"/>
    <col min="14339" max="14339" width="21.6640625" style="1771" customWidth="1"/>
    <col min="14340" max="14340" width="3.5" style="1771" customWidth="1"/>
    <col min="14341" max="14341" width="5.6640625" style="1771" customWidth="1"/>
    <col min="14342" max="14342" width="15.1640625" style="1771" customWidth="1"/>
    <col min="14343" max="14350" width="18.1640625" style="1771" customWidth="1"/>
    <col min="14351" max="14592" width="9" style="1771"/>
    <col min="14593" max="14593" width="2.5" style="1771" customWidth="1"/>
    <col min="14594" max="14594" width="2.83203125" style="1771" customWidth="1"/>
    <col min="14595" max="14595" width="21.6640625" style="1771" customWidth="1"/>
    <col min="14596" max="14596" width="3.5" style="1771" customWidth="1"/>
    <col min="14597" max="14597" width="5.6640625" style="1771" customWidth="1"/>
    <col min="14598" max="14598" width="15.1640625" style="1771" customWidth="1"/>
    <col min="14599" max="14606" width="18.1640625" style="1771" customWidth="1"/>
    <col min="14607" max="14848" width="9" style="1771"/>
    <col min="14849" max="14849" width="2.5" style="1771" customWidth="1"/>
    <col min="14850" max="14850" width="2.83203125" style="1771" customWidth="1"/>
    <col min="14851" max="14851" width="21.6640625" style="1771" customWidth="1"/>
    <col min="14852" max="14852" width="3.5" style="1771" customWidth="1"/>
    <col min="14853" max="14853" width="5.6640625" style="1771" customWidth="1"/>
    <col min="14854" max="14854" width="15.1640625" style="1771" customWidth="1"/>
    <col min="14855" max="14862" width="18.1640625" style="1771" customWidth="1"/>
    <col min="14863" max="15104" width="9" style="1771"/>
    <col min="15105" max="15105" width="2.5" style="1771" customWidth="1"/>
    <col min="15106" max="15106" width="2.83203125" style="1771" customWidth="1"/>
    <col min="15107" max="15107" width="21.6640625" style="1771" customWidth="1"/>
    <col min="15108" max="15108" width="3.5" style="1771" customWidth="1"/>
    <col min="15109" max="15109" width="5.6640625" style="1771" customWidth="1"/>
    <col min="15110" max="15110" width="15.1640625" style="1771" customWidth="1"/>
    <col min="15111" max="15118" width="18.1640625" style="1771" customWidth="1"/>
    <col min="15119" max="15360" width="9" style="1771"/>
    <col min="15361" max="15361" width="2.5" style="1771" customWidth="1"/>
    <col min="15362" max="15362" width="2.83203125" style="1771" customWidth="1"/>
    <col min="15363" max="15363" width="21.6640625" style="1771" customWidth="1"/>
    <col min="15364" max="15364" width="3.5" style="1771" customWidth="1"/>
    <col min="15365" max="15365" width="5.6640625" style="1771" customWidth="1"/>
    <col min="15366" max="15366" width="15.1640625" style="1771" customWidth="1"/>
    <col min="15367" max="15374" width="18.1640625" style="1771" customWidth="1"/>
    <col min="15375" max="15616" width="9" style="1771"/>
    <col min="15617" max="15617" width="2.5" style="1771" customWidth="1"/>
    <col min="15618" max="15618" width="2.83203125" style="1771" customWidth="1"/>
    <col min="15619" max="15619" width="21.6640625" style="1771" customWidth="1"/>
    <col min="15620" max="15620" width="3.5" style="1771" customWidth="1"/>
    <col min="15621" max="15621" width="5.6640625" style="1771" customWidth="1"/>
    <col min="15622" max="15622" width="15.1640625" style="1771" customWidth="1"/>
    <col min="15623" max="15630" width="18.1640625" style="1771" customWidth="1"/>
    <col min="15631" max="15872" width="9" style="1771"/>
    <col min="15873" max="15873" width="2.5" style="1771" customWidth="1"/>
    <col min="15874" max="15874" width="2.83203125" style="1771" customWidth="1"/>
    <col min="15875" max="15875" width="21.6640625" style="1771" customWidth="1"/>
    <col min="15876" max="15876" width="3.5" style="1771" customWidth="1"/>
    <col min="15877" max="15877" width="5.6640625" style="1771" customWidth="1"/>
    <col min="15878" max="15878" width="15.1640625" style="1771" customWidth="1"/>
    <col min="15879" max="15886" width="18.1640625" style="1771" customWidth="1"/>
    <col min="15887" max="16128" width="9" style="1771"/>
    <col min="16129" max="16129" width="2.5" style="1771" customWidth="1"/>
    <col min="16130" max="16130" width="2.83203125" style="1771" customWidth="1"/>
    <col min="16131" max="16131" width="21.6640625" style="1771" customWidth="1"/>
    <col min="16132" max="16132" width="3.5" style="1771" customWidth="1"/>
    <col min="16133" max="16133" width="5.6640625" style="1771" customWidth="1"/>
    <col min="16134" max="16134" width="15.1640625" style="1771" customWidth="1"/>
    <col min="16135" max="16142" width="18.1640625" style="1771" customWidth="1"/>
    <col min="16143" max="16384" width="9" style="1771"/>
  </cols>
  <sheetData>
    <row r="1" spans="1:256" s="1721" customFormat="1" ht="18">
      <c r="A1" s="1714"/>
      <c r="B1" s="1714"/>
      <c r="C1" s="1715"/>
      <c r="D1" s="1715"/>
      <c r="E1" s="1716" t="s">
        <v>2513</v>
      </c>
      <c r="F1" s="1717"/>
      <c r="G1" s="1718"/>
      <c r="H1" s="1718"/>
      <c r="I1" s="1718"/>
      <c r="J1" s="1718"/>
      <c r="K1" s="1718"/>
      <c r="L1" s="1718"/>
      <c r="M1" s="1719">
        <v>20190116</v>
      </c>
      <c r="N1" s="1720" t="s">
        <v>2730</v>
      </c>
      <c r="IA1" s="1722"/>
      <c r="IB1" s="1722"/>
      <c r="IC1" s="1722"/>
      <c r="ID1" s="1722"/>
      <c r="IE1" s="1722"/>
      <c r="IF1" s="1722"/>
      <c r="IG1" s="1722"/>
      <c r="IH1" s="1722"/>
      <c r="II1" s="1722"/>
      <c r="IJ1" s="1722"/>
      <c r="IK1" s="1722"/>
      <c r="IL1" s="1722"/>
      <c r="IM1" s="1722"/>
      <c r="IN1" s="1722"/>
      <c r="IO1" s="1722"/>
      <c r="IP1" s="1722"/>
      <c r="IQ1" s="1722"/>
      <c r="IR1" s="1722"/>
      <c r="IS1" s="1722"/>
      <c r="IT1" s="1722"/>
      <c r="IU1" s="1722"/>
      <c r="IV1" s="1722"/>
    </row>
    <row r="2" spans="1:256" s="1721" customFormat="1" ht="16">
      <c r="A2" s="1714"/>
      <c r="B2" s="1714"/>
      <c r="C2" s="2960" t="s">
        <v>2515</v>
      </c>
      <c r="D2" s="2961"/>
      <c r="E2" s="2961"/>
      <c r="F2" s="1714" t="s">
        <v>2516</v>
      </c>
      <c r="G2" s="1723"/>
      <c r="H2" s="1724"/>
      <c r="I2" s="1724"/>
      <c r="J2" s="1724"/>
      <c r="K2" s="1724"/>
      <c r="L2" s="1724"/>
      <c r="M2" s="1714"/>
      <c r="N2" s="1724" t="s">
        <v>246</v>
      </c>
      <c r="IA2" s="1722"/>
      <c r="IB2" s="1722"/>
      <c r="IC2" s="1722"/>
      <c r="ID2" s="1722"/>
      <c r="IE2" s="1722"/>
      <c r="IF2" s="1722"/>
      <c r="IG2" s="1722"/>
      <c r="IH2" s="1722"/>
      <c r="II2" s="1722"/>
      <c r="IJ2" s="1722"/>
      <c r="IK2" s="1722"/>
      <c r="IL2" s="1722"/>
      <c r="IM2" s="1722"/>
      <c r="IN2" s="1722"/>
      <c r="IO2" s="1722"/>
      <c r="IP2" s="1722"/>
      <c r="IQ2" s="1722"/>
      <c r="IR2" s="1722"/>
      <c r="IS2" s="1722"/>
      <c r="IT2" s="1722"/>
      <c r="IU2" s="1722"/>
      <c r="IV2" s="1722"/>
    </row>
    <row r="3" spans="1:256" s="1721" customFormat="1" ht="16">
      <c r="A3" s="1725"/>
      <c r="B3" s="1726"/>
      <c r="C3" s="1727"/>
      <c r="D3" s="1728"/>
      <c r="E3" s="1729"/>
      <c r="F3" s="1730" t="s">
        <v>2835</v>
      </c>
      <c r="G3" s="1731"/>
      <c r="H3" s="1731"/>
      <c r="I3" s="1731"/>
      <c r="J3" s="1731"/>
      <c r="K3" s="1731"/>
      <c r="L3" s="1731"/>
      <c r="M3" s="1731"/>
      <c r="N3" s="1732"/>
      <c r="IA3" s="1722"/>
      <c r="IB3" s="1722"/>
      <c r="IC3" s="1722"/>
      <c r="ID3" s="1722"/>
      <c r="IE3" s="1722"/>
      <c r="IF3" s="1722"/>
      <c r="IG3" s="1722"/>
      <c r="IH3" s="1722"/>
      <c r="II3" s="1722"/>
      <c r="IJ3" s="1722"/>
      <c r="IK3" s="1722"/>
      <c r="IL3" s="1722"/>
      <c r="IM3" s="1722"/>
      <c r="IN3" s="1722"/>
      <c r="IO3" s="1722"/>
      <c r="IP3" s="1722"/>
      <c r="IQ3" s="1722"/>
      <c r="IR3" s="1722"/>
      <c r="IS3" s="1722"/>
      <c r="IT3" s="1722"/>
      <c r="IU3" s="1722"/>
      <c r="IV3" s="1722"/>
    </row>
    <row r="4" spans="1:256" s="1721" customFormat="1" ht="16">
      <c r="A4" s="1725"/>
      <c r="B4" s="2962" t="s">
        <v>2518</v>
      </c>
      <c r="C4" s="2963"/>
      <c r="D4" s="2963"/>
      <c r="E4" s="1729"/>
      <c r="F4" s="1733">
        <f>SUM(G4:N4)</f>
        <v>0</v>
      </c>
      <c r="G4" s="1734">
        <f>G81</f>
        <v>0</v>
      </c>
      <c r="H4" s="1735">
        <f t="shared" ref="G4:N5" si="0">H81</f>
        <v>0</v>
      </c>
      <c r="I4" s="1735">
        <f t="shared" si="0"/>
        <v>0</v>
      </c>
      <c r="J4" s="1735">
        <f>J81</f>
        <v>0</v>
      </c>
      <c r="K4" s="1735">
        <f>K81</f>
        <v>0</v>
      </c>
      <c r="L4" s="1735">
        <f t="shared" si="0"/>
        <v>0</v>
      </c>
      <c r="M4" s="1733">
        <f t="shared" si="0"/>
        <v>0</v>
      </c>
      <c r="N4" s="1736">
        <f t="shared" si="0"/>
        <v>0</v>
      </c>
      <c r="IA4" s="1722"/>
      <c r="IB4" s="1722"/>
      <c r="IC4" s="1722"/>
      <c r="ID4" s="1722"/>
      <c r="IE4" s="1722"/>
      <c r="IF4" s="1722"/>
      <c r="IG4" s="1722"/>
      <c r="IH4" s="1722"/>
      <c r="II4" s="1722"/>
      <c r="IJ4" s="1722"/>
      <c r="IK4" s="1722"/>
      <c r="IL4" s="1722"/>
      <c r="IM4" s="1722"/>
      <c r="IN4" s="1722"/>
      <c r="IO4" s="1722"/>
      <c r="IP4" s="1722"/>
      <c r="IQ4" s="1722"/>
      <c r="IR4" s="1722"/>
      <c r="IS4" s="1722"/>
      <c r="IT4" s="1722"/>
      <c r="IU4" s="1722"/>
      <c r="IV4" s="1722"/>
    </row>
    <row r="5" spans="1:256" s="1721" customFormat="1" ht="16">
      <c r="A5" s="1737"/>
      <c r="B5" s="2964" t="s">
        <v>2519</v>
      </c>
      <c r="C5" s="2965"/>
      <c r="D5" s="2965"/>
      <c r="E5" s="1738"/>
      <c r="F5" s="1739">
        <f>SUM(G5:N5)</f>
        <v>0</v>
      </c>
      <c r="G5" s="1740">
        <f t="shared" si="0"/>
        <v>0</v>
      </c>
      <c r="H5" s="1741">
        <f t="shared" si="0"/>
        <v>0</v>
      </c>
      <c r="I5" s="1741">
        <f t="shared" si="0"/>
        <v>0</v>
      </c>
      <c r="J5" s="1741">
        <f>J82</f>
        <v>0</v>
      </c>
      <c r="K5" s="1741">
        <f>K82</f>
        <v>0</v>
      </c>
      <c r="L5" s="1741">
        <f t="shared" si="0"/>
        <v>0</v>
      </c>
      <c r="M5" s="1739">
        <f t="shared" si="0"/>
        <v>0</v>
      </c>
      <c r="N5" s="1742">
        <f t="shared" si="0"/>
        <v>0</v>
      </c>
      <c r="IA5" s="1722"/>
      <c r="IB5" s="1722"/>
      <c r="IC5" s="1722"/>
      <c r="ID5" s="1722"/>
      <c r="IE5" s="1722"/>
      <c r="IF5" s="1722"/>
      <c r="IG5" s="1722"/>
      <c r="IH5" s="1722"/>
      <c r="II5" s="1722"/>
      <c r="IJ5" s="1722"/>
      <c r="IK5" s="1722"/>
      <c r="IL5" s="1722"/>
      <c r="IM5" s="1722"/>
      <c r="IN5" s="1722"/>
      <c r="IO5" s="1722"/>
      <c r="IP5" s="1722"/>
      <c r="IQ5" s="1722"/>
      <c r="IR5" s="1722"/>
      <c r="IS5" s="1722"/>
      <c r="IT5" s="1722"/>
      <c r="IU5" s="1722"/>
      <c r="IV5" s="1722"/>
    </row>
    <row r="6" spans="1:256" s="1721" customFormat="1" ht="16">
      <c r="A6" s="1743"/>
      <c r="B6" s="2966" t="s">
        <v>234</v>
      </c>
      <c r="C6" s="2967"/>
      <c r="D6" s="2967"/>
      <c r="E6" s="1744"/>
      <c r="F6" s="1745">
        <f>SUM(G6:N6)</f>
        <v>0</v>
      </c>
      <c r="G6" s="1746">
        <f t="shared" ref="G6:N6" si="1">G80</f>
        <v>0</v>
      </c>
      <c r="H6" s="1747">
        <f t="shared" si="1"/>
        <v>0</v>
      </c>
      <c r="I6" s="1747">
        <f t="shared" si="1"/>
        <v>0</v>
      </c>
      <c r="J6" s="1747">
        <f>J80</f>
        <v>0</v>
      </c>
      <c r="K6" s="1747">
        <f>K80</f>
        <v>0</v>
      </c>
      <c r="L6" s="1747">
        <f t="shared" si="1"/>
        <v>0</v>
      </c>
      <c r="M6" s="1745">
        <f t="shared" si="1"/>
        <v>0</v>
      </c>
      <c r="N6" s="1748">
        <f t="shared" si="1"/>
        <v>0</v>
      </c>
      <c r="IA6" s="1722"/>
      <c r="IB6" s="1722"/>
      <c r="IC6" s="1722"/>
      <c r="ID6" s="1722"/>
      <c r="IE6" s="1722"/>
      <c r="IF6" s="1722"/>
      <c r="IG6" s="1722"/>
      <c r="IH6" s="1722"/>
      <c r="II6" s="1722"/>
      <c r="IJ6" s="1722"/>
      <c r="IK6" s="1722"/>
      <c r="IL6" s="1722"/>
      <c r="IM6" s="1722"/>
      <c r="IN6" s="1722"/>
      <c r="IO6" s="1722"/>
      <c r="IP6" s="1722"/>
      <c r="IQ6" s="1722"/>
      <c r="IR6" s="1722"/>
      <c r="IS6" s="1722"/>
      <c r="IT6" s="1722"/>
      <c r="IU6" s="1722"/>
      <c r="IV6" s="1722"/>
    </row>
    <row r="7" spans="1:256" s="1721" customFormat="1" ht="16">
      <c r="A7" s="1737"/>
      <c r="B7" s="1749"/>
      <c r="C7" s="1750"/>
      <c r="D7" s="1751"/>
      <c r="E7" s="1752"/>
      <c r="F7" s="1753"/>
      <c r="G7" s="1754" t="s">
        <v>2520</v>
      </c>
      <c r="H7" s="1755"/>
      <c r="I7" s="1756"/>
      <c r="J7" s="1756"/>
      <c r="K7" s="1756"/>
      <c r="L7" s="1756"/>
      <c r="M7" s="1756"/>
      <c r="N7" s="1757" t="s">
        <v>2521</v>
      </c>
      <c r="IA7" s="1722"/>
      <c r="IB7" s="1722"/>
      <c r="IC7" s="1722"/>
      <c r="ID7" s="1722"/>
      <c r="IE7" s="1722"/>
      <c r="IF7" s="1722"/>
      <c r="IG7" s="1722"/>
      <c r="IH7" s="1722"/>
      <c r="II7" s="1722"/>
      <c r="IJ7" s="1722"/>
      <c r="IK7" s="1722"/>
      <c r="IL7" s="1722"/>
      <c r="IM7" s="1722"/>
      <c r="IN7" s="1722"/>
      <c r="IO7" s="1722"/>
      <c r="IP7" s="1722"/>
      <c r="IQ7" s="1722"/>
      <c r="IR7" s="1722"/>
      <c r="IS7" s="1722"/>
      <c r="IT7" s="1722"/>
      <c r="IU7" s="1722"/>
      <c r="IV7" s="1722"/>
    </row>
    <row r="8" spans="1:256" s="1721" customFormat="1" ht="16">
      <c r="A8" s="1758"/>
      <c r="B8" s="1759"/>
      <c r="C8" s="1760" t="s">
        <v>2522</v>
      </c>
      <c r="D8" s="2968" t="s">
        <v>2836</v>
      </c>
      <c r="E8" s="2968"/>
      <c r="F8" s="2969"/>
      <c r="G8" s="1761" t="str">
        <f>IF(G87="","",G87)</f>
        <v/>
      </c>
      <c r="H8" s="1761" t="str">
        <f t="shared" ref="H8:N9" si="2">IF(H87="","",H87)</f>
        <v/>
      </c>
      <c r="I8" s="1761" t="str">
        <f t="shared" si="2"/>
        <v/>
      </c>
      <c r="J8" s="1761" t="str">
        <f t="shared" si="2"/>
        <v/>
      </c>
      <c r="K8" s="1761" t="str">
        <f t="shared" si="2"/>
        <v/>
      </c>
      <c r="L8" s="1761" t="str">
        <f t="shared" si="2"/>
        <v/>
      </c>
      <c r="M8" s="1761" t="str">
        <f t="shared" si="2"/>
        <v/>
      </c>
      <c r="N8" s="1762" t="str">
        <f t="shared" si="2"/>
        <v/>
      </c>
      <c r="IA8" s="1722"/>
      <c r="IB8" s="1722"/>
      <c r="IC8" s="1722"/>
      <c r="ID8" s="1722"/>
      <c r="IE8" s="1722"/>
      <c r="IF8" s="1722"/>
      <c r="IG8" s="1722"/>
      <c r="IH8" s="1722"/>
      <c r="II8" s="1722"/>
      <c r="IJ8" s="1722"/>
      <c r="IK8" s="1722"/>
      <c r="IL8" s="1722"/>
      <c r="IM8" s="1722"/>
      <c r="IN8" s="1722"/>
      <c r="IO8" s="1722"/>
      <c r="IP8" s="1722"/>
      <c r="IQ8" s="1722"/>
      <c r="IR8" s="1722"/>
      <c r="IS8" s="1722"/>
      <c r="IT8" s="1722"/>
      <c r="IU8" s="1722"/>
      <c r="IV8" s="1722"/>
    </row>
    <row r="9" spans="1:256" s="1721" customFormat="1" ht="16">
      <c r="A9" s="1763"/>
      <c r="B9" s="1764"/>
      <c r="C9" s="1765" t="s">
        <v>2524</v>
      </c>
      <c r="D9" s="2970" t="s">
        <v>2837</v>
      </c>
      <c r="E9" s="2970"/>
      <c r="F9" s="2971"/>
      <c r="G9" s="1766" t="str">
        <f>IF(G88="","",G88)</f>
        <v>改修</v>
      </c>
      <c r="H9" s="1766" t="str">
        <f t="shared" si="2"/>
        <v/>
      </c>
      <c r="I9" s="1766" t="str">
        <f t="shared" si="2"/>
        <v/>
      </c>
      <c r="J9" s="1766" t="str">
        <f t="shared" si="2"/>
        <v/>
      </c>
      <c r="K9" s="1766" t="str">
        <f t="shared" si="2"/>
        <v/>
      </c>
      <c r="L9" s="1766" t="str">
        <f t="shared" si="2"/>
        <v/>
      </c>
      <c r="M9" s="1766" t="str">
        <f t="shared" si="2"/>
        <v/>
      </c>
      <c r="N9" s="1767" t="str">
        <f t="shared" si="2"/>
        <v/>
      </c>
      <c r="IA9" s="1722"/>
      <c r="IB9" s="1722"/>
      <c r="IC9" s="1722"/>
      <c r="ID9" s="1722"/>
      <c r="IE9" s="1722"/>
      <c r="IF9" s="1722"/>
      <c r="IG9" s="1722"/>
      <c r="IH9" s="1722"/>
      <c r="II9" s="1722"/>
      <c r="IJ9" s="1722"/>
      <c r="IK9" s="1722"/>
      <c r="IL9" s="1722"/>
      <c r="IM9" s="1722"/>
      <c r="IN9" s="1722"/>
      <c r="IO9" s="1722"/>
      <c r="IP9" s="1722"/>
      <c r="IQ9" s="1722"/>
      <c r="IR9" s="1722"/>
      <c r="IS9" s="1722"/>
      <c r="IT9" s="1722"/>
      <c r="IU9" s="1722"/>
      <c r="IV9" s="1722"/>
    </row>
    <row r="10" spans="1:256" ht="13.5" customHeight="1">
      <c r="A10" s="1768"/>
      <c r="B10" s="1749"/>
      <c r="C10" s="2953" t="s">
        <v>2838</v>
      </c>
      <c r="D10" s="2953"/>
      <c r="E10" s="2953"/>
      <c r="F10" s="2954"/>
      <c r="G10" s="1769" t="str">
        <f>IF(G91="","",G91)</f>
        <v>積上げ・率処理併用</v>
      </c>
      <c r="H10" s="1769" t="str">
        <f t="shared" ref="H10:N12" si="3">IF(H91="","",H91)</f>
        <v/>
      </c>
      <c r="I10" s="1769" t="str">
        <f t="shared" si="3"/>
        <v/>
      </c>
      <c r="J10" s="1769" t="str">
        <f t="shared" si="3"/>
        <v/>
      </c>
      <c r="K10" s="1769" t="str">
        <f t="shared" si="3"/>
        <v/>
      </c>
      <c r="L10" s="1769" t="str">
        <f t="shared" si="3"/>
        <v/>
      </c>
      <c r="M10" s="1769" t="str">
        <f t="shared" si="3"/>
        <v/>
      </c>
      <c r="N10" s="1770" t="str">
        <f t="shared" si="3"/>
        <v/>
      </c>
    </row>
    <row r="11" spans="1:256" ht="30" customHeight="1">
      <c r="A11" s="2930" t="s">
        <v>2839</v>
      </c>
      <c r="B11" s="2955"/>
      <c r="C11" s="2955"/>
      <c r="D11" s="2955"/>
      <c r="E11" s="2955"/>
      <c r="F11" s="2956"/>
      <c r="G11" s="1772" t="str">
        <f>IF(G92="","",G92)</f>
        <v>駅施設</v>
      </c>
      <c r="H11" s="1772" t="str">
        <f t="shared" si="3"/>
        <v/>
      </c>
      <c r="I11" s="1772" t="str">
        <f t="shared" si="3"/>
        <v/>
      </c>
      <c r="J11" s="1772" t="str">
        <f t="shared" si="3"/>
        <v/>
      </c>
      <c r="K11" s="1772" t="str">
        <f t="shared" si="3"/>
        <v/>
      </c>
      <c r="L11" s="1772" t="str">
        <f t="shared" si="3"/>
        <v/>
      </c>
      <c r="M11" s="1772" t="str">
        <f t="shared" si="3"/>
        <v/>
      </c>
      <c r="N11" s="1773" t="str">
        <f t="shared" si="3"/>
        <v/>
      </c>
    </row>
    <row r="12" spans="1:256" ht="30" customHeight="1">
      <c r="A12" s="2957" t="s">
        <v>2840</v>
      </c>
      <c r="B12" s="2958"/>
      <c r="C12" s="2958"/>
      <c r="D12" s="2958"/>
      <c r="E12" s="2958"/>
      <c r="F12" s="2959"/>
      <c r="G12" s="1774" t="str">
        <f>IF(G93="","",G93)</f>
        <v>無し</v>
      </c>
      <c r="H12" s="1774" t="str">
        <f t="shared" si="3"/>
        <v/>
      </c>
      <c r="I12" s="1774" t="str">
        <f t="shared" si="3"/>
        <v/>
      </c>
      <c r="J12" s="1774" t="str">
        <f t="shared" si="3"/>
        <v/>
      </c>
      <c r="K12" s="1774" t="str">
        <f t="shared" si="3"/>
        <v/>
      </c>
      <c r="L12" s="1774" t="str">
        <f t="shared" si="3"/>
        <v/>
      </c>
      <c r="M12" s="1774" t="str">
        <f t="shared" si="3"/>
        <v/>
      </c>
      <c r="N12" s="1775" t="str">
        <f t="shared" si="3"/>
        <v/>
      </c>
    </row>
    <row r="13" spans="1:256" s="1783" customFormat="1" ht="13.5" customHeight="1">
      <c r="A13" s="1776"/>
      <c r="B13" s="1777" t="s">
        <v>2733</v>
      </c>
      <c r="C13" s="1778"/>
      <c r="D13" s="1778"/>
      <c r="E13" s="1779"/>
      <c r="F13" s="1780">
        <f>SUM(G13:N13)</f>
        <v>0</v>
      </c>
      <c r="G13" s="1781"/>
      <c r="H13" s="1781"/>
      <c r="I13" s="1781"/>
      <c r="J13" s="1781"/>
      <c r="K13" s="1781"/>
      <c r="L13" s="1781"/>
      <c r="M13" s="1781"/>
      <c r="N13" s="1782"/>
    </row>
    <row r="14" spans="1:256" s="1783" customFormat="1" ht="13.5" customHeight="1">
      <c r="A14" s="1784"/>
      <c r="B14" s="1785" t="s">
        <v>2734</v>
      </c>
      <c r="C14" s="1786"/>
      <c r="D14" s="1786"/>
      <c r="E14" s="1787"/>
      <c r="F14" s="1788"/>
      <c r="G14" s="1789">
        <f>SUM(G15:G16)</f>
        <v>0</v>
      </c>
      <c r="H14" s="1789">
        <f t="shared" ref="H14:N14" si="4">SUM(H15:H16)</f>
        <v>0</v>
      </c>
      <c r="I14" s="1789">
        <f t="shared" si="4"/>
        <v>0</v>
      </c>
      <c r="J14" s="1789">
        <f t="shared" si="4"/>
        <v>0</v>
      </c>
      <c r="K14" s="1789">
        <f t="shared" si="4"/>
        <v>0</v>
      </c>
      <c r="L14" s="1789">
        <f t="shared" si="4"/>
        <v>0</v>
      </c>
      <c r="M14" s="1789">
        <f t="shared" si="4"/>
        <v>0</v>
      </c>
      <c r="N14" s="1790">
        <f t="shared" si="4"/>
        <v>0</v>
      </c>
    </row>
    <row r="15" spans="1:256" s="1783" customFormat="1" ht="13.5" customHeight="1">
      <c r="A15" s="1784"/>
      <c r="B15" s="1791" t="s">
        <v>2531</v>
      </c>
      <c r="C15" s="1792"/>
      <c r="D15" s="1792"/>
      <c r="E15" s="1793"/>
      <c r="F15" s="1794"/>
      <c r="G15" s="1795">
        <f t="shared" ref="G15:N15" si="5">G309-G96</f>
        <v>0</v>
      </c>
      <c r="H15" s="1795">
        <f t="shared" si="5"/>
        <v>0</v>
      </c>
      <c r="I15" s="1795">
        <f t="shared" si="5"/>
        <v>0</v>
      </c>
      <c r="J15" s="1795">
        <f>J309-J96</f>
        <v>0</v>
      </c>
      <c r="K15" s="1795">
        <f>K309-K96</f>
        <v>0</v>
      </c>
      <c r="L15" s="1795">
        <f t="shared" si="5"/>
        <v>0</v>
      </c>
      <c r="M15" s="1795">
        <f t="shared" si="5"/>
        <v>0</v>
      </c>
      <c r="N15" s="1796">
        <f t="shared" si="5"/>
        <v>0</v>
      </c>
    </row>
    <row r="16" spans="1:256" s="1783" customFormat="1" ht="13.5" customHeight="1">
      <c r="A16" s="1784"/>
      <c r="B16" s="1791" t="s">
        <v>2537</v>
      </c>
      <c r="C16" s="1792"/>
      <c r="D16" s="1792"/>
      <c r="E16" s="1793"/>
      <c r="F16" s="1794"/>
      <c r="G16" s="1797"/>
      <c r="H16" s="1797"/>
      <c r="I16" s="1797"/>
      <c r="J16" s="1797"/>
      <c r="K16" s="1797"/>
      <c r="L16" s="1797"/>
      <c r="M16" s="1797"/>
      <c r="N16" s="1798"/>
    </row>
    <row r="17" spans="1:256" s="1783" customFormat="1" ht="13.5" customHeight="1">
      <c r="A17" s="1784"/>
      <c r="B17" s="1799" t="s">
        <v>2841</v>
      </c>
      <c r="C17" s="1800"/>
      <c r="D17" s="1800"/>
      <c r="E17" s="1801"/>
      <c r="F17" s="1802"/>
      <c r="G17" s="1803"/>
      <c r="H17" s="1803"/>
      <c r="I17" s="1803"/>
      <c r="J17" s="1803"/>
      <c r="K17" s="1803"/>
      <c r="L17" s="1803"/>
      <c r="M17" s="1803"/>
      <c r="N17" s="1804"/>
    </row>
    <row r="18" spans="1:256" s="1783" customFormat="1" ht="13.5" customHeight="1">
      <c r="A18" s="1805"/>
      <c r="B18" s="1806" t="s">
        <v>2736</v>
      </c>
      <c r="C18" s="1807"/>
      <c r="D18" s="1807"/>
      <c r="E18" s="1808"/>
      <c r="F18" s="1809">
        <f>SUM(G18:N18)</f>
        <v>0</v>
      </c>
      <c r="G18" s="1810">
        <f t="shared" ref="G18:N18" si="6">G318-G105</f>
        <v>0</v>
      </c>
      <c r="H18" s="1810">
        <f t="shared" si="6"/>
        <v>0</v>
      </c>
      <c r="I18" s="1810">
        <f t="shared" si="6"/>
        <v>0</v>
      </c>
      <c r="J18" s="1810">
        <f>J318-J105</f>
        <v>0</v>
      </c>
      <c r="K18" s="1810">
        <f>K318-K105</f>
        <v>0</v>
      </c>
      <c r="L18" s="1810">
        <f t="shared" si="6"/>
        <v>0</v>
      </c>
      <c r="M18" s="1810">
        <f t="shared" si="6"/>
        <v>0</v>
      </c>
      <c r="N18" s="1811">
        <f t="shared" si="6"/>
        <v>0</v>
      </c>
    </row>
    <row r="19" spans="1:256" s="1783" customFormat="1" ht="13.5" hidden="1" customHeight="1">
      <c r="A19" s="1784"/>
      <c r="B19" s="1806" t="s">
        <v>2737</v>
      </c>
      <c r="C19" s="1807"/>
      <c r="D19" s="1807"/>
      <c r="E19" s="1808"/>
      <c r="F19" s="1809" t="e">
        <f>SUM(G19:N19)</f>
        <v>#REF!</v>
      </c>
      <c r="G19" s="1812" t="e">
        <f>G204-#REF!</f>
        <v>#REF!</v>
      </c>
      <c r="H19" s="1812" t="e">
        <f>H204-#REF!</f>
        <v>#REF!</v>
      </c>
      <c r="I19" s="1812" t="e">
        <f>I204-#REF!</f>
        <v>#REF!</v>
      </c>
      <c r="J19" s="1812" t="e">
        <f>J204-#REF!</f>
        <v>#REF!</v>
      </c>
      <c r="K19" s="1812" t="e">
        <f>K204-#REF!</f>
        <v>#REF!</v>
      </c>
      <c r="L19" s="1812" t="e">
        <f>L204-#REF!</f>
        <v>#REF!</v>
      </c>
      <c r="M19" s="1812" t="e">
        <f>M204-#REF!</f>
        <v>#REF!</v>
      </c>
      <c r="N19" s="1813" t="e">
        <f>N204-#REF!</f>
        <v>#REF!</v>
      </c>
    </row>
    <row r="20" spans="1:256" s="1783" customFormat="1" ht="13.5" customHeight="1">
      <c r="A20" s="1784"/>
      <c r="B20" s="1814" t="s">
        <v>2738</v>
      </c>
      <c r="C20" s="1800"/>
      <c r="D20" s="1800"/>
      <c r="E20" s="1801"/>
      <c r="F20" s="1815">
        <f>SUM(G20:N20)</f>
        <v>0</v>
      </c>
      <c r="G20" s="1816">
        <f t="shared" ref="G20:N20" si="7">G321-G108</f>
        <v>0</v>
      </c>
      <c r="H20" s="1816">
        <f t="shared" si="7"/>
        <v>0</v>
      </c>
      <c r="I20" s="1816">
        <f t="shared" si="7"/>
        <v>0</v>
      </c>
      <c r="J20" s="1816">
        <f>J321-J108</f>
        <v>0</v>
      </c>
      <c r="K20" s="1816">
        <f>K321-K108</f>
        <v>0</v>
      </c>
      <c r="L20" s="1816">
        <f t="shared" si="7"/>
        <v>0</v>
      </c>
      <c r="M20" s="1816">
        <f t="shared" si="7"/>
        <v>0</v>
      </c>
      <c r="N20" s="1817">
        <f t="shared" si="7"/>
        <v>0</v>
      </c>
    </row>
    <row r="21" spans="1:256" s="1721" customFormat="1" ht="16">
      <c r="A21" s="1818" t="s">
        <v>2842</v>
      </c>
      <c r="B21" s="1819"/>
      <c r="C21" s="1820"/>
      <c r="D21" s="1821" t="s">
        <v>2635</v>
      </c>
      <c r="E21" s="1821" t="s">
        <v>2668</v>
      </c>
      <c r="F21" s="1821"/>
      <c r="G21" s="1821"/>
      <c r="H21" s="1821"/>
      <c r="I21" s="1821"/>
      <c r="J21" s="1821"/>
      <c r="K21" s="1821"/>
      <c r="L21" s="1821"/>
      <c r="M21" s="1821"/>
      <c r="N21" s="1822"/>
      <c r="IA21" s="1722"/>
      <c r="IB21" s="1722"/>
      <c r="IC21" s="1722"/>
      <c r="ID21" s="1722"/>
      <c r="IE21" s="1722"/>
      <c r="IF21" s="1722"/>
      <c r="IG21" s="1722"/>
      <c r="IH21" s="1722"/>
      <c r="II21" s="1722"/>
      <c r="IJ21" s="1722"/>
      <c r="IK21" s="1722"/>
      <c r="IL21" s="1722"/>
      <c r="IM21" s="1722"/>
      <c r="IN21" s="1722"/>
      <c r="IO21" s="1722"/>
      <c r="IP21" s="1722"/>
      <c r="IQ21" s="1722"/>
      <c r="IR21" s="1722"/>
      <c r="IS21" s="1722"/>
      <c r="IT21" s="1722"/>
      <c r="IU21" s="1722"/>
      <c r="IV21" s="1722"/>
    </row>
    <row r="22" spans="1:256" s="1721" customFormat="1" ht="16">
      <c r="A22" s="1823"/>
      <c r="B22" s="2882" t="s">
        <v>2843</v>
      </c>
      <c r="C22" s="1824" t="str">
        <f>C121</f>
        <v>(1)新築一般建築工事</v>
      </c>
      <c r="D22" s="1824"/>
      <c r="E22" s="1825"/>
      <c r="F22" s="1826">
        <f>SUM(G22:N22)</f>
        <v>0</v>
      </c>
      <c r="G22" s="1827">
        <f t="shared" ref="G22:N22" si="8">IF(G88="新営",G13-SUM(G27:G33)-G37-G41,0)</f>
        <v>0</v>
      </c>
      <c r="H22" s="1827">
        <f t="shared" si="8"/>
        <v>0</v>
      </c>
      <c r="I22" s="1827">
        <f t="shared" si="8"/>
        <v>0</v>
      </c>
      <c r="J22" s="1827">
        <f>IF(J88="新営",J13-SUM(J27:J33)-J37-J41,0)</f>
        <v>0</v>
      </c>
      <c r="K22" s="1827">
        <f>IF(K88="新営",K13-SUM(K27:K33)-K37-K41,0)</f>
        <v>0</v>
      </c>
      <c r="L22" s="1827">
        <f t="shared" si="8"/>
        <v>0</v>
      </c>
      <c r="M22" s="1827">
        <f t="shared" si="8"/>
        <v>0</v>
      </c>
      <c r="N22" s="1828">
        <f t="shared" si="8"/>
        <v>0</v>
      </c>
      <c r="IA22" s="1722"/>
      <c r="IB22" s="1722"/>
      <c r="IC22" s="1722"/>
      <c r="ID22" s="1722"/>
      <c r="IE22" s="1722"/>
      <c r="IF22" s="1722"/>
      <c r="IG22" s="1722"/>
      <c r="IH22" s="1722"/>
      <c r="II22" s="1722"/>
      <c r="IJ22" s="1722"/>
      <c r="IK22" s="1722"/>
      <c r="IL22" s="1722"/>
      <c r="IM22" s="1722"/>
      <c r="IN22" s="1722"/>
      <c r="IO22" s="1722"/>
      <c r="IP22" s="1722"/>
      <c r="IQ22" s="1722"/>
      <c r="IR22" s="1722"/>
      <c r="IS22" s="1722"/>
      <c r="IT22" s="1722"/>
      <c r="IU22" s="1722"/>
      <c r="IV22" s="1722"/>
    </row>
    <row r="23" spans="1:256" s="1721" customFormat="1" ht="16">
      <c r="A23" s="1823"/>
      <c r="B23" s="2883"/>
      <c r="C23" s="1829" t="str">
        <f t="shared" ref="C23:C43" si="9">C122</f>
        <v>（２）改修一般建築工事</v>
      </c>
      <c r="D23" s="1830"/>
      <c r="E23" s="1831"/>
      <c r="F23" s="1832"/>
      <c r="G23" s="1833">
        <f t="shared" ref="G23:N23" si="10">IF(G88="改修",G13-SUM(G27:G33)-G37-G41,0)</f>
        <v>0</v>
      </c>
      <c r="H23" s="1833">
        <f t="shared" si="10"/>
        <v>0</v>
      </c>
      <c r="I23" s="1833">
        <f t="shared" si="10"/>
        <v>0</v>
      </c>
      <c r="J23" s="1833">
        <f>IF(J88="改修",J13-SUM(J27:J33)-J37-J41,0)</f>
        <v>0</v>
      </c>
      <c r="K23" s="1833">
        <f>IF(K88="改修",K13-SUM(K27:K33)-K37-K41,0)</f>
        <v>0</v>
      </c>
      <c r="L23" s="1833">
        <f t="shared" si="10"/>
        <v>0</v>
      </c>
      <c r="M23" s="1833">
        <f t="shared" si="10"/>
        <v>0</v>
      </c>
      <c r="N23" s="1834">
        <f t="shared" si="10"/>
        <v>0</v>
      </c>
      <c r="IA23" s="1722"/>
      <c r="IB23" s="1722"/>
      <c r="IC23" s="1722"/>
      <c r="ID23" s="1722"/>
      <c r="IE23" s="1722"/>
      <c r="IF23" s="1722"/>
      <c r="IG23" s="1722"/>
      <c r="IH23" s="1722"/>
      <c r="II23" s="1722"/>
      <c r="IJ23" s="1722"/>
      <c r="IK23" s="1722"/>
      <c r="IL23" s="1722"/>
      <c r="IM23" s="1722"/>
      <c r="IN23" s="1722"/>
      <c r="IO23" s="1722"/>
      <c r="IP23" s="1722"/>
      <c r="IQ23" s="1722"/>
      <c r="IR23" s="1722"/>
      <c r="IS23" s="1722"/>
      <c r="IT23" s="1722"/>
      <c r="IU23" s="1722"/>
      <c r="IV23" s="1722"/>
    </row>
    <row r="24" spans="1:256" s="1721" customFormat="1" ht="16">
      <c r="A24" s="1823"/>
      <c r="B24" s="2883"/>
      <c r="C24" s="1829" t="str">
        <f t="shared" si="9"/>
        <v>（３）警備員費（共通仮設費）</v>
      </c>
      <c r="D24" s="1830"/>
      <c r="E24" s="1831"/>
      <c r="F24" s="1832"/>
      <c r="G24" s="1833">
        <f t="shared" ref="G24:N24" si="11">G17</f>
        <v>0</v>
      </c>
      <c r="H24" s="1833">
        <f t="shared" si="11"/>
        <v>0</v>
      </c>
      <c r="I24" s="1833">
        <f t="shared" si="11"/>
        <v>0</v>
      </c>
      <c r="J24" s="1833">
        <f>J17</f>
        <v>0</v>
      </c>
      <c r="K24" s="1833">
        <f>K17</f>
        <v>0</v>
      </c>
      <c r="L24" s="1833">
        <f t="shared" si="11"/>
        <v>0</v>
      </c>
      <c r="M24" s="1833">
        <f t="shared" si="11"/>
        <v>0</v>
      </c>
      <c r="N24" s="1834">
        <f t="shared" si="11"/>
        <v>0</v>
      </c>
      <c r="IA24" s="1722"/>
      <c r="IB24" s="1722"/>
      <c r="IC24" s="1722"/>
      <c r="ID24" s="1722"/>
      <c r="IE24" s="1722"/>
      <c r="IF24" s="1722"/>
      <c r="IG24" s="1722"/>
      <c r="IH24" s="1722"/>
      <c r="II24" s="1722"/>
      <c r="IJ24" s="1722"/>
      <c r="IK24" s="1722"/>
      <c r="IL24" s="1722"/>
      <c r="IM24" s="1722"/>
      <c r="IN24" s="1722"/>
      <c r="IO24" s="1722"/>
      <c r="IP24" s="1722"/>
      <c r="IQ24" s="1722"/>
      <c r="IR24" s="1722"/>
      <c r="IS24" s="1722"/>
      <c r="IT24" s="1722"/>
      <c r="IU24" s="1722"/>
      <c r="IV24" s="1722"/>
    </row>
    <row r="25" spans="1:256" s="1721" customFormat="1" ht="16">
      <c r="A25" s="1823"/>
      <c r="B25" s="2950"/>
      <c r="C25" s="1835" t="str">
        <f t="shared" si="9"/>
        <v>(4-1)率算出共通仮設工事</v>
      </c>
      <c r="D25" s="1835"/>
      <c r="E25" s="1836"/>
      <c r="F25" s="1837">
        <f t="shared" ref="F25:F31" si="12">SUM(G25:N25)</f>
        <v>0</v>
      </c>
      <c r="G25" s="1838">
        <f t="shared" ref="G25:N25" si="13">G337-G124</f>
        <v>0</v>
      </c>
      <c r="H25" s="1838">
        <f t="shared" si="13"/>
        <v>0</v>
      </c>
      <c r="I25" s="1838">
        <f t="shared" si="13"/>
        <v>0</v>
      </c>
      <c r="J25" s="1838">
        <f>J337-J124</f>
        <v>0</v>
      </c>
      <c r="K25" s="1838">
        <f>K337-K124</f>
        <v>0</v>
      </c>
      <c r="L25" s="1838">
        <f t="shared" si="13"/>
        <v>0</v>
      </c>
      <c r="M25" s="1838">
        <f t="shared" si="13"/>
        <v>0</v>
      </c>
      <c r="N25" s="1839">
        <f t="shared" si="13"/>
        <v>0</v>
      </c>
      <c r="IA25" s="1722"/>
      <c r="IB25" s="1722"/>
      <c r="IC25" s="1722"/>
      <c r="ID25" s="1722"/>
      <c r="IE25" s="1722"/>
      <c r="IF25" s="1722"/>
      <c r="IG25" s="1722"/>
      <c r="IH25" s="1722"/>
      <c r="II25" s="1722"/>
      <c r="IJ25" s="1722"/>
      <c r="IK25" s="1722"/>
      <c r="IL25" s="1722"/>
      <c r="IM25" s="1722"/>
      <c r="IN25" s="1722"/>
      <c r="IO25" s="1722"/>
      <c r="IP25" s="1722"/>
      <c r="IQ25" s="1722"/>
      <c r="IR25" s="1722"/>
      <c r="IS25" s="1722"/>
      <c r="IT25" s="1722"/>
      <c r="IU25" s="1722"/>
      <c r="IV25" s="1722"/>
    </row>
    <row r="26" spans="1:256" s="1721" customFormat="1" ht="16">
      <c r="A26" s="1823"/>
      <c r="B26" s="2882" t="s">
        <v>2741</v>
      </c>
      <c r="C26" s="1824" t="str">
        <f t="shared" si="9"/>
        <v>(4-2)積上げ共通仮設工事※警備員費・率除外項目除く</v>
      </c>
      <c r="D26" s="1824"/>
      <c r="E26" s="1840">
        <f>+E105</f>
        <v>0</v>
      </c>
      <c r="F26" s="1826">
        <f t="shared" si="12"/>
        <v>0</v>
      </c>
      <c r="G26" s="1827">
        <f t="shared" ref="G26:N26" si="14">G16-G17-G38-G39-G40-G42-G43</f>
        <v>0</v>
      </c>
      <c r="H26" s="1827">
        <f t="shared" si="14"/>
        <v>0</v>
      </c>
      <c r="I26" s="1827">
        <f t="shared" si="14"/>
        <v>0</v>
      </c>
      <c r="J26" s="1827">
        <f>J16-J17-J38-J39-J40-J42-J43</f>
        <v>0</v>
      </c>
      <c r="K26" s="1827">
        <f>K16-K17-K38-K39-K40-K42-K43</f>
        <v>0</v>
      </c>
      <c r="L26" s="1827">
        <f t="shared" si="14"/>
        <v>0</v>
      </c>
      <c r="M26" s="1827">
        <f t="shared" si="14"/>
        <v>0</v>
      </c>
      <c r="N26" s="1828">
        <f t="shared" si="14"/>
        <v>0</v>
      </c>
      <c r="IA26" s="1722"/>
      <c r="IB26" s="1722"/>
      <c r="IC26" s="1722"/>
      <c r="ID26" s="1722"/>
      <c r="IE26" s="1722"/>
      <c r="IF26" s="1722"/>
      <c r="IG26" s="1722"/>
      <c r="IH26" s="1722"/>
      <c r="II26" s="1722"/>
      <c r="IJ26" s="1722"/>
      <c r="IK26" s="1722"/>
      <c r="IL26" s="1722"/>
      <c r="IM26" s="1722"/>
      <c r="IN26" s="1722"/>
      <c r="IO26" s="1722"/>
      <c r="IP26" s="1722"/>
      <c r="IQ26" s="1722"/>
      <c r="IR26" s="1722"/>
      <c r="IS26" s="1722"/>
      <c r="IT26" s="1722"/>
      <c r="IU26" s="1722"/>
      <c r="IV26" s="1722"/>
    </row>
    <row r="27" spans="1:256" s="1721" customFormat="1" ht="16">
      <c r="A27" s="1823"/>
      <c r="B27" s="2883"/>
      <c r="C27" s="1829" t="str">
        <f t="shared" si="9"/>
        <v>(5)直接仮設工事（下請経費共）</v>
      </c>
      <c r="D27" s="1829"/>
      <c r="E27" s="1841">
        <f>+E106</f>
        <v>0</v>
      </c>
      <c r="F27" s="1842">
        <f t="shared" si="12"/>
        <v>0</v>
      </c>
      <c r="G27" s="1843"/>
      <c r="H27" s="1843"/>
      <c r="I27" s="1843"/>
      <c r="J27" s="1843"/>
      <c r="K27" s="1843"/>
      <c r="L27" s="1843"/>
      <c r="M27" s="1843"/>
      <c r="N27" s="1844"/>
      <c r="IA27" s="1722"/>
      <c r="IB27" s="1722"/>
      <c r="IC27" s="1722"/>
      <c r="ID27" s="1722"/>
      <c r="IE27" s="1722"/>
      <c r="IF27" s="1722"/>
      <c r="IG27" s="1722"/>
      <c r="IH27" s="1722"/>
      <c r="II27" s="1722"/>
      <c r="IJ27" s="1722"/>
      <c r="IK27" s="1722"/>
      <c r="IL27" s="1722"/>
      <c r="IM27" s="1722"/>
      <c r="IN27" s="1722"/>
      <c r="IO27" s="1722"/>
      <c r="IP27" s="1722"/>
      <c r="IQ27" s="1722"/>
      <c r="IR27" s="1722"/>
      <c r="IS27" s="1722"/>
      <c r="IT27" s="1722"/>
      <c r="IU27" s="1722"/>
      <c r="IV27" s="1722"/>
    </row>
    <row r="28" spans="1:256" s="1721" customFormat="1" ht="16">
      <c r="A28" s="1823"/>
      <c r="B28" s="2883"/>
      <c r="C28" s="1829" t="str">
        <f t="shared" si="9"/>
        <v>(6)建具工事（下請経費共）</v>
      </c>
      <c r="D28" s="1829"/>
      <c r="E28" s="1841">
        <f>+E107</f>
        <v>0</v>
      </c>
      <c r="F28" s="1842">
        <f t="shared" si="12"/>
        <v>0</v>
      </c>
      <c r="G28" s="1843"/>
      <c r="H28" s="1843"/>
      <c r="I28" s="1843"/>
      <c r="J28" s="1843"/>
      <c r="K28" s="1843"/>
      <c r="L28" s="1843"/>
      <c r="M28" s="1843"/>
      <c r="N28" s="1844"/>
      <c r="IA28" s="1722"/>
      <c r="IB28" s="1722"/>
      <c r="IC28" s="1722"/>
      <c r="ID28" s="1722"/>
      <c r="IE28" s="1722"/>
      <c r="IF28" s="1722"/>
      <c r="IG28" s="1722"/>
      <c r="IH28" s="1722"/>
      <c r="II28" s="1722"/>
      <c r="IJ28" s="1722"/>
      <c r="IK28" s="1722"/>
      <c r="IL28" s="1722"/>
      <c r="IM28" s="1722"/>
      <c r="IN28" s="1722"/>
      <c r="IO28" s="1722"/>
      <c r="IP28" s="1722"/>
      <c r="IQ28" s="1722"/>
      <c r="IR28" s="1722"/>
      <c r="IS28" s="1722"/>
      <c r="IT28" s="1722"/>
      <c r="IU28" s="1722"/>
      <c r="IV28" s="1722"/>
    </row>
    <row r="29" spans="1:256" s="1721" customFormat="1" ht="16">
      <c r="A29" s="1823"/>
      <c r="B29" s="2883"/>
      <c r="C29" s="1829" t="str">
        <f t="shared" si="9"/>
        <v>(7)場内小運搬費（下請経費共）</v>
      </c>
      <c r="D29" s="1829"/>
      <c r="E29" s="1841">
        <f>+E108</f>
        <v>0</v>
      </c>
      <c r="F29" s="1842">
        <f t="shared" si="12"/>
        <v>0</v>
      </c>
      <c r="G29" s="1843"/>
      <c r="H29" s="1843"/>
      <c r="I29" s="1843"/>
      <c r="J29" s="1843"/>
      <c r="K29" s="1843"/>
      <c r="L29" s="1843"/>
      <c r="M29" s="1843"/>
      <c r="N29" s="1844"/>
      <c r="IA29" s="1722"/>
      <c r="IB29" s="1722"/>
      <c r="IC29" s="1722"/>
      <c r="ID29" s="1722"/>
      <c r="IE29" s="1722"/>
      <c r="IF29" s="1722"/>
      <c r="IG29" s="1722"/>
      <c r="IH29" s="1722"/>
      <c r="II29" s="1722"/>
      <c r="IJ29" s="1722"/>
      <c r="IK29" s="1722"/>
      <c r="IL29" s="1722"/>
      <c r="IM29" s="1722"/>
      <c r="IN29" s="1722"/>
      <c r="IO29" s="1722"/>
      <c r="IP29" s="1722"/>
      <c r="IQ29" s="1722"/>
      <c r="IR29" s="1722"/>
      <c r="IS29" s="1722"/>
      <c r="IT29" s="1722"/>
      <c r="IU29" s="1722"/>
      <c r="IV29" s="1722"/>
    </row>
    <row r="30" spans="1:256" s="1721" customFormat="1" ht="16">
      <c r="A30" s="1823"/>
      <c r="B30" s="2883"/>
      <c r="C30" s="1829" t="str">
        <f t="shared" si="9"/>
        <v>(8)〃人力積込み費（下請経費共）</v>
      </c>
      <c r="D30" s="1829"/>
      <c r="E30" s="1841">
        <f>+E109</f>
        <v>0</v>
      </c>
      <c r="F30" s="1842">
        <f t="shared" si="12"/>
        <v>0</v>
      </c>
      <c r="G30" s="1843"/>
      <c r="H30" s="1843"/>
      <c r="I30" s="1843"/>
      <c r="J30" s="1843"/>
      <c r="K30" s="1843"/>
      <c r="L30" s="1843"/>
      <c r="M30" s="1843"/>
      <c r="N30" s="1844"/>
      <c r="IA30" s="1722"/>
      <c r="IB30" s="1722"/>
      <c r="IC30" s="1722"/>
      <c r="ID30" s="1722"/>
      <c r="IE30" s="1722"/>
      <c r="IF30" s="1722"/>
      <c r="IG30" s="1722"/>
      <c r="IH30" s="1722"/>
      <c r="II30" s="1722"/>
      <c r="IJ30" s="1722"/>
      <c r="IK30" s="1722"/>
      <c r="IL30" s="1722"/>
      <c r="IM30" s="1722"/>
      <c r="IN30" s="1722"/>
      <c r="IO30" s="1722"/>
      <c r="IP30" s="1722"/>
      <c r="IQ30" s="1722"/>
      <c r="IR30" s="1722"/>
      <c r="IS30" s="1722"/>
      <c r="IT30" s="1722"/>
      <c r="IU30" s="1722"/>
      <c r="IV30" s="1722"/>
    </row>
    <row r="31" spans="1:256" s="1721" customFormat="1" ht="16">
      <c r="A31" s="1823"/>
      <c r="B31" s="2883"/>
      <c r="C31" s="1829" t="str">
        <f t="shared" si="9"/>
        <v>(9)〃搬出準備費</v>
      </c>
      <c r="D31" s="1829"/>
      <c r="E31" s="1841"/>
      <c r="F31" s="1842">
        <f t="shared" si="12"/>
        <v>0</v>
      </c>
      <c r="G31" s="1845"/>
      <c r="H31" s="1845"/>
      <c r="I31" s="1845"/>
      <c r="J31" s="1845"/>
      <c r="K31" s="1845"/>
      <c r="L31" s="1845"/>
      <c r="M31" s="1845"/>
      <c r="N31" s="1846"/>
      <c r="IA31" s="1722"/>
      <c r="IB31" s="1722"/>
      <c r="IC31" s="1722"/>
      <c r="ID31" s="1722"/>
      <c r="IE31" s="1722"/>
      <c r="IF31" s="1722"/>
      <c r="IG31" s="1722"/>
      <c r="IH31" s="1722"/>
      <c r="II31" s="1722"/>
      <c r="IJ31" s="1722"/>
      <c r="IK31" s="1722"/>
      <c r="IL31" s="1722"/>
      <c r="IM31" s="1722"/>
      <c r="IN31" s="1722"/>
      <c r="IO31" s="1722"/>
      <c r="IP31" s="1722"/>
      <c r="IQ31" s="1722"/>
      <c r="IR31" s="1722"/>
      <c r="IS31" s="1722"/>
      <c r="IT31" s="1722"/>
      <c r="IU31" s="1722"/>
      <c r="IV31" s="1722"/>
    </row>
    <row r="32" spans="1:256" s="1721" customFormat="1" ht="16">
      <c r="A32" s="1823"/>
      <c r="B32" s="2883"/>
      <c r="C32" s="1829">
        <f t="shared" si="9"/>
        <v>0</v>
      </c>
      <c r="D32" s="1829"/>
      <c r="E32" s="1841"/>
      <c r="F32" s="1842"/>
      <c r="G32" s="1845"/>
      <c r="H32" s="1845"/>
      <c r="I32" s="1845"/>
      <c r="J32" s="1845"/>
      <c r="K32" s="1845"/>
      <c r="L32" s="1845"/>
      <c r="M32" s="1845"/>
      <c r="N32" s="1846"/>
      <c r="IA32" s="1722"/>
      <c r="IB32" s="1722"/>
      <c r="IC32" s="1722"/>
      <c r="ID32" s="1722"/>
      <c r="IE32" s="1722"/>
      <c r="IF32" s="1722"/>
      <c r="IG32" s="1722"/>
      <c r="IH32" s="1722"/>
      <c r="II32" s="1722"/>
      <c r="IJ32" s="1722"/>
      <c r="IK32" s="1722"/>
      <c r="IL32" s="1722"/>
      <c r="IM32" s="1722"/>
      <c r="IN32" s="1722"/>
      <c r="IO32" s="1722"/>
      <c r="IP32" s="1722"/>
      <c r="IQ32" s="1722"/>
      <c r="IR32" s="1722"/>
      <c r="IS32" s="1722"/>
      <c r="IT32" s="1722"/>
      <c r="IU32" s="1722"/>
      <c r="IV32" s="1722"/>
    </row>
    <row r="33" spans="1:256" s="1721" customFormat="1" ht="16">
      <c r="A33" s="1823"/>
      <c r="B33" s="2950"/>
      <c r="C33" s="1835">
        <f t="shared" si="9"/>
        <v>0</v>
      </c>
      <c r="D33" s="1835"/>
      <c r="E33" s="1836"/>
      <c r="F33" s="1837">
        <f t="shared" ref="F33:F43" si="15">SUM(G33:N33)</f>
        <v>0</v>
      </c>
      <c r="G33" s="1847"/>
      <c r="H33" s="1847"/>
      <c r="I33" s="1847"/>
      <c r="J33" s="1847"/>
      <c r="K33" s="1847"/>
      <c r="L33" s="1847"/>
      <c r="M33" s="1847"/>
      <c r="N33" s="1848"/>
      <c r="IA33" s="1722"/>
      <c r="IB33" s="1722"/>
      <c r="IC33" s="1722"/>
      <c r="ID33" s="1722"/>
      <c r="IE33" s="1722"/>
      <c r="IF33" s="1722"/>
      <c r="IG33" s="1722"/>
      <c r="IH33" s="1722"/>
      <c r="II33" s="1722"/>
      <c r="IJ33" s="1722"/>
      <c r="IK33" s="1722"/>
      <c r="IL33" s="1722"/>
      <c r="IM33" s="1722"/>
      <c r="IN33" s="1722"/>
      <c r="IO33" s="1722"/>
      <c r="IP33" s="1722"/>
      <c r="IQ33" s="1722"/>
      <c r="IR33" s="1722"/>
      <c r="IS33" s="1722"/>
      <c r="IT33" s="1722"/>
      <c r="IU33" s="1722"/>
      <c r="IV33" s="1722"/>
    </row>
    <row r="34" spans="1:256" s="1721" customFormat="1" ht="16">
      <c r="A34" s="1823"/>
      <c r="B34" s="2882" t="s">
        <v>477</v>
      </c>
      <c r="C34" s="1824" t="str">
        <f t="shared" si="9"/>
        <v>(10)近隣家屋調査及び地質調査</v>
      </c>
      <c r="D34" s="1824"/>
      <c r="E34" s="1825"/>
      <c r="F34" s="1826">
        <f t="shared" si="15"/>
        <v>0</v>
      </c>
      <c r="G34" s="1849"/>
      <c r="H34" s="1849"/>
      <c r="I34" s="1849"/>
      <c r="J34" s="1849"/>
      <c r="K34" s="1849"/>
      <c r="L34" s="1849"/>
      <c r="M34" s="1849"/>
      <c r="N34" s="1850"/>
      <c r="IA34" s="1722"/>
      <c r="IB34" s="1722"/>
      <c r="IC34" s="1722"/>
      <c r="ID34" s="1722"/>
      <c r="IE34" s="1722"/>
      <c r="IF34" s="1722"/>
      <c r="IG34" s="1722"/>
      <c r="IH34" s="1722"/>
      <c r="II34" s="1722"/>
      <c r="IJ34" s="1722"/>
      <c r="IK34" s="1722"/>
      <c r="IL34" s="1722"/>
      <c r="IM34" s="1722"/>
      <c r="IN34" s="1722"/>
      <c r="IO34" s="1722"/>
      <c r="IP34" s="1722"/>
      <c r="IQ34" s="1722"/>
      <c r="IR34" s="1722"/>
      <c r="IS34" s="1722"/>
      <c r="IT34" s="1722"/>
      <c r="IU34" s="1722"/>
      <c r="IV34" s="1722"/>
    </row>
    <row r="35" spans="1:256" s="1721" customFormat="1" ht="16">
      <c r="A35" s="1823"/>
      <c r="B35" s="2883"/>
      <c r="C35" s="1829" t="str">
        <f t="shared" si="9"/>
        <v>(11)</v>
      </c>
      <c r="D35" s="1829"/>
      <c r="E35" s="1851"/>
      <c r="F35" s="1842">
        <f t="shared" si="15"/>
        <v>0</v>
      </c>
      <c r="G35" s="1843"/>
      <c r="H35" s="1843"/>
      <c r="I35" s="1843"/>
      <c r="J35" s="1843"/>
      <c r="K35" s="1843"/>
      <c r="L35" s="1843"/>
      <c r="M35" s="1843"/>
      <c r="N35" s="1844"/>
      <c r="IA35" s="1722"/>
      <c r="IB35" s="1722"/>
      <c r="IC35" s="1722"/>
      <c r="ID35" s="1722"/>
      <c r="IE35" s="1722"/>
      <c r="IF35" s="1722"/>
      <c r="IG35" s="1722"/>
      <c r="IH35" s="1722"/>
      <c r="II35" s="1722"/>
      <c r="IJ35" s="1722"/>
      <c r="IK35" s="1722"/>
      <c r="IL35" s="1722"/>
      <c r="IM35" s="1722"/>
      <c r="IN35" s="1722"/>
      <c r="IO35" s="1722"/>
      <c r="IP35" s="1722"/>
      <c r="IQ35" s="1722"/>
      <c r="IR35" s="1722"/>
      <c r="IS35" s="1722"/>
      <c r="IT35" s="1722"/>
      <c r="IU35" s="1722"/>
      <c r="IV35" s="1722"/>
    </row>
    <row r="36" spans="1:256" s="1721" customFormat="1" ht="16">
      <c r="A36" s="1823"/>
      <c r="B36" s="2950"/>
      <c r="C36" s="1835" t="str">
        <f t="shared" si="9"/>
        <v>(12)</v>
      </c>
      <c r="D36" s="1835"/>
      <c r="E36" s="1836"/>
      <c r="F36" s="1837">
        <f t="shared" si="15"/>
        <v>0</v>
      </c>
      <c r="G36" s="1852"/>
      <c r="H36" s="1852"/>
      <c r="I36" s="1852"/>
      <c r="J36" s="1852"/>
      <c r="K36" s="1852"/>
      <c r="L36" s="1852"/>
      <c r="M36" s="1852"/>
      <c r="N36" s="1853"/>
      <c r="IA36" s="1722"/>
      <c r="IB36" s="1722"/>
      <c r="IC36" s="1722"/>
      <c r="ID36" s="1722"/>
      <c r="IE36" s="1722"/>
      <c r="IF36" s="1722"/>
      <c r="IG36" s="1722"/>
      <c r="IH36" s="1722"/>
      <c r="II36" s="1722"/>
      <c r="IJ36" s="1722"/>
      <c r="IK36" s="1722"/>
      <c r="IL36" s="1722"/>
      <c r="IM36" s="1722"/>
      <c r="IN36" s="1722"/>
      <c r="IO36" s="1722"/>
      <c r="IP36" s="1722"/>
      <c r="IQ36" s="1722"/>
      <c r="IR36" s="1722"/>
      <c r="IS36" s="1722"/>
      <c r="IT36" s="1722"/>
      <c r="IU36" s="1722"/>
      <c r="IV36" s="1722"/>
    </row>
    <row r="37" spans="1:256" s="1721" customFormat="1" ht="13.5" customHeight="1">
      <c r="A37" s="1823"/>
      <c r="B37" s="2882" t="s">
        <v>2556</v>
      </c>
      <c r="C37" s="1824" t="str">
        <f t="shared" si="9"/>
        <v>(13)残材処分費及び残土処分費（直工費のみ）</v>
      </c>
      <c r="D37" s="1824"/>
      <c r="E37" s="1825"/>
      <c r="F37" s="1826">
        <f t="shared" si="15"/>
        <v>0</v>
      </c>
      <c r="G37" s="1849"/>
      <c r="H37" s="1849"/>
      <c r="I37" s="1849"/>
      <c r="J37" s="1849"/>
      <c r="K37" s="1849"/>
      <c r="L37" s="1849"/>
      <c r="M37" s="1849"/>
      <c r="N37" s="1850"/>
      <c r="IA37" s="1722"/>
      <c r="IB37" s="1722"/>
      <c r="IC37" s="1722"/>
      <c r="ID37" s="1722"/>
      <c r="IE37" s="1722"/>
      <c r="IF37" s="1722"/>
      <c r="IG37" s="1722"/>
      <c r="IH37" s="1722"/>
      <c r="II37" s="1722"/>
      <c r="IJ37" s="1722"/>
      <c r="IK37" s="1722"/>
      <c r="IL37" s="1722"/>
      <c r="IM37" s="1722"/>
      <c r="IN37" s="1722"/>
      <c r="IO37" s="1722"/>
      <c r="IP37" s="1722"/>
      <c r="IQ37" s="1722"/>
      <c r="IR37" s="1722"/>
      <c r="IS37" s="1722"/>
      <c r="IT37" s="1722"/>
      <c r="IU37" s="1722"/>
      <c r="IV37" s="1722"/>
    </row>
    <row r="38" spans="1:256" s="1721" customFormat="1" ht="16">
      <c r="A38" s="1823"/>
      <c r="B38" s="2883"/>
      <c r="C38" s="1829" t="str">
        <f t="shared" si="9"/>
        <v>(14)残材処分費及び残土処分費(共通仮設)</v>
      </c>
      <c r="D38" s="1829"/>
      <c r="E38" s="1851"/>
      <c r="F38" s="1842">
        <f t="shared" si="15"/>
        <v>0</v>
      </c>
      <c r="G38" s="1843"/>
      <c r="H38" s="1843"/>
      <c r="I38" s="1843"/>
      <c r="J38" s="1843"/>
      <c r="K38" s="1843"/>
      <c r="L38" s="1843"/>
      <c r="M38" s="1843"/>
      <c r="N38" s="1844"/>
      <c r="IA38" s="1722"/>
      <c r="IB38" s="1722"/>
      <c r="IC38" s="1722"/>
      <c r="ID38" s="1722"/>
      <c r="IE38" s="1722"/>
      <c r="IF38" s="1722"/>
      <c r="IG38" s="1722"/>
      <c r="IH38" s="1722"/>
      <c r="II38" s="1722"/>
      <c r="IJ38" s="1722"/>
      <c r="IK38" s="1722"/>
      <c r="IL38" s="1722"/>
      <c r="IM38" s="1722"/>
      <c r="IN38" s="1722"/>
      <c r="IO38" s="1722"/>
      <c r="IP38" s="1722"/>
      <c r="IQ38" s="1722"/>
      <c r="IR38" s="1722"/>
      <c r="IS38" s="1722"/>
      <c r="IT38" s="1722"/>
      <c r="IU38" s="1722"/>
      <c r="IV38" s="1722"/>
    </row>
    <row r="39" spans="1:256" s="1721" customFormat="1" ht="16">
      <c r="A39" s="1823"/>
      <c r="B39" s="2883"/>
      <c r="C39" s="1829" t="str">
        <f t="shared" si="9"/>
        <v>(15)リース料</v>
      </c>
      <c r="D39" s="1829"/>
      <c r="E39" s="1851"/>
      <c r="F39" s="1842">
        <f t="shared" si="15"/>
        <v>0</v>
      </c>
      <c r="G39" s="1843"/>
      <c r="H39" s="1843"/>
      <c r="I39" s="1843"/>
      <c r="J39" s="1843"/>
      <c r="K39" s="1843"/>
      <c r="L39" s="1843"/>
      <c r="M39" s="1843"/>
      <c r="N39" s="1844"/>
      <c r="IA39" s="1722"/>
      <c r="IB39" s="1722"/>
      <c r="IC39" s="1722"/>
      <c r="ID39" s="1722"/>
      <c r="IE39" s="1722"/>
      <c r="IF39" s="1722"/>
      <c r="IG39" s="1722"/>
      <c r="IH39" s="1722"/>
      <c r="II39" s="1722"/>
      <c r="IJ39" s="1722"/>
      <c r="IK39" s="1722"/>
      <c r="IL39" s="1722"/>
      <c r="IM39" s="1722"/>
      <c r="IN39" s="1722"/>
      <c r="IO39" s="1722"/>
      <c r="IP39" s="1722"/>
      <c r="IQ39" s="1722"/>
      <c r="IR39" s="1722"/>
      <c r="IS39" s="1722"/>
      <c r="IT39" s="1722"/>
      <c r="IU39" s="1722"/>
      <c r="IV39" s="1722"/>
    </row>
    <row r="40" spans="1:256" s="1721" customFormat="1" ht="16">
      <c r="A40" s="1823"/>
      <c r="B40" s="2883"/>
      <c r="C40" s="1829" t="str">
        <f t="shared" si="9"/>
        <v>(16)借地借家料（共通仮設）</v>
      </c>
      <c r="D40" s="1854"/>
      <c r="E40" s="1855"/>
      <c r="F40" s="1856">
        <f t="shared" si="15"/>
        <v>0</v>
      </c>
      <c r="G40" s="1857"/>
      <c r="H40" s="1857"/>
      <c r="I40" s="1857"/>
      <c r="J40" s="1857"/>
      <c r="K40" s="1857"/>
      <c r="L40" s="1857"/>
      <c r="M40" s="1857"/>
      <c r="N40" s="1858"/>
      <c r="IA40" s="1722"/>
      <c r="IB40" s="1722"/>
      <c r="IC40" s="1722"/>
      <c r="ID40" s="1722"/>
      <c r="IE40" s="1722"/>
      <c r="IF40" s="1722"/>
      <c r="IG40" s="1722"/>
      <c r="IH40" s="1722"/>
      <c r="II40" s="1722"/>
      <c r="IJ40" s="1722"/>
      <c r="IK40" s="1722"/>
      <c r="IL40" s="1722"/>
      <c r="IM40" s="1722"/>
      <c r="IN40" s="1722"/>
      <c r="IO40" s="1722"/>
      <c r="IP40" s="1722"/>
      <c r="IQ40" s="1722"/>
      <c r="IR40" s="1722"/>
      <c r="IS40" s="1722"/>
      <c r="IT40" s="1722"/>
      <c r="IU40" s="1722"/>
      <c r="IV40" s="1722"/>
    </row>
    <row r="41" spans="1:256" s="1721" customFormat="1" ht="16">
      <c r="A41" s="1823"/>
      <c r="B41" s="2883"/>
      <c r="C41" s="1829" t="str">
        <f t="shared" si="9"/>
        <v>(17)別途算定（直工費）</v>
      </c>
      <c r="D41" s="1829"/>
      <c r="E41" s="1851"/>
      <c r="F41" s="1842">
        <f t="shared" si="15"/>
        <v>0</v>
      </c>
      <c r="G41" s="1859"/>
      <c r="H41" s="1859"/>
      <c r="I41" s="1859"/>
      <c r="J41" s="1859"/>
      <c r="K41" s="1859"/>
      <c r="L41" s="1859"/>
      <c r="M41" s="1859"/>
      <c r="N41" s="1860"/>
      <c r="IA41" s="1722"/>
      <c r="IB41" s="1722"/>
      <c r="IC41" s="1722"/>
      <c r="ID41" s="1722"/>
      <c r="IE41" s="1722"/>
      <c r="IF41" s="1722"/>
      <c r="IG41" s="1722"/>
      <c r="IH41" s="1722"/>
      <c r="II41" s="1722"/>
      <c r="IJ41" s="1722"/>
      <c r="IK41" s="1722"/>
      <c r="IL41" s="1722"/>
      <c r="IM41" s="1722"/>
      <c r="IN41" s="1722"/>
      <c r="IO41" s="1722"/>
      <c r="IP41" s="1722"/>
      <c r="IQ41" s="1722"/>
      <c r="IR41" s="1722"/>
      <c r="IS41" s="1722"/>
      <c r="IT41" s="1722"/>
      <c r="IU41" s="1722"/>
      <c r="IV41" s="1722"/>
    </row>
    <row r="42" spans="1:256" s="1721" customFormat="1" ht="16">
      <c r="A42" s="1823"/>
      <c r="B42" s="2883"/>
      <c r="C42" s="1829" t="str">
        <f t="shared" si="9"/>
        <v>(18)別途算定（共通仮設）</v>
      </c>
      <c r="D42" s="1829"/>
      <c r="E42" s="1851"/>
      <c r="F42" s="1842">
        <f t="shared" si="15"/>
        <v>0</v>
      </c>
      <c r="G42" s="1859"/>
      <c r="H42" s="1859"/>
      <c r="I42" s="1859"/>
      <c r="J42" s="1859"/>
      <c r="K42" s="1859"/>
      <c r="L42" s="1859"/>
      <c r="M42" s="1859"/>
      <c r="N42" s="1860"/>
      <c r="IA42" s="1722"/>
      <c r="IB42" s="1722"/>
      <c r="IC42" s="1722"/>
      <c r="ID42" s="1722"/>
      <c r="IE42" s="1722"/>
      <c r="IF42" s="1722"/>
      <c r="IG42" s="1722"/>
      <c r="IH42" s="1722"/>
      <c r="II42" s="1722"/>
      <c r="IJ42" s="1722"/>
      <c r="IK42" s="1722"/>
      <c r="IL42" s="1722"/>
      <c r="IM42" s="1722"/>
      <c r="IN42" s="1722"/>
      <c r="IO42" s="1722"/>
      <c r="IP42" s="1722"/>
      <c r="IQ42" s="1722"/>
      <c r="IR42" s="1722"/>
      <c r="IS42" s="1722"/>
      <c r="IT42" s="1722"/>
      <c r="IU42" s="1722"/>
      <c r="IV42" s="1722"/>
    </row>
    <row r="43" spans="1:256" s="1721" customFormat="1" ht="16">
      <c r="A43" s="1861"/>
      <c r="B43" s="2950"/>
      <c r="C43" s="1835" t="str">
        <f t="shared" si="9"/>
        <v>(19)下水道使用料、各種負担金（共通仮設）</v>
      </c>
      <c r="D43" s="1835"/>
      <c r="E43" s="1836"/>
      <c r="F43" s="1837">
        <f t="shared" si="15"/>
        <v>0</v>
      </c>
      <c r="G43" s="1852"/>
      <c r="H43" s="1852"/>
      <c r="I43" s="1852"/>
      <c r="J43" s="1852"/>
      <c r="K43" s="1852"/>
      <c r="L43" s="1852"/>
      <c r="M43" s="1852"/>
      <c r="N43" s="1853"/>
      <c r="IA43" s="1722"/>
      <c r="IB43" s="1722"/>
      <c r="IC43" s="1722"/>
      <c r="ID43" s="1722"/>
      <c r="IE43" s="1722"/>
      <c r="IF43" s="1722"/>
      <c r="IG43" s="1722"/>
      <c r="IH43" s="1722"/>
      <c r="II43" s="1722"/>
      <c r="IJ43" s="1722"/>
      <c r="IK43" s="1722"/>
      <c r="IL43" s="1722"/>
      <c r="IM43" s="1722"/>
      <c r="IN43" s="1722"/>
      <c r="IO43" s="1722"/>
      <c r="IP43" s="1722"/>
      <c r="IQ43" s="1722"/>
      <c r="IR43" s="1722"/>
      <c r="IS43" s="1722"/>
      <c r="IT43" s="1722"/>
      <c r="IU43" s="1722"/>
      <c r="IV43" s="1722"/>
    </row>
    <row r="44" spans="1:256" s="1721" customFormat="1" ht="16">
      <c r="A44" s="2951" t="s">
        <v>2844</v>
      </c>
      <c r="B44" s="2951"/>
      <c r="C44" s="2952"/>
      <c r="D44" s="1862"/>
      <c r="E44" s="1863"/>
      <c r="F44" s="1864"/>
      <c r="G44" s="1865"/>
      <c r="H44" s="1865"/>
      <c r="I44" s="1865"/>
      <c r="J44" s="1865"/>
      <c r="K44" s="1865"/>
      <c r="L44" s="1865"/>
      <c r="M44" s="1865"/>
      <c r="N44" s="1866"/>
      <c r="IA44" s="1722"/>
      <c r="IB44" s="1722"/>
      <c r="IC44" s="1722"/>
      <c r="ID44" s="1722"/>
      <c r="IE44" s="1722"/>
      <c r="IF44" s="1722"/>
      <c r="IG44" s="1722"/>
      <c r="IH44" s="1722"/>
      <c r="II44" s="1722"/>
      <c r="IJ44" s="1722"/>
      <c r="IK44" s="1722"/>
      <c r="IL44" s="1722"/>
      <c r="IM44" s="1722"/>
      <c r="IN44" s="1722"/>
      <c r="IO44" s="1722"/>
      <c r="IP44" s="1722"/>
      <c r="IQ44" s="1722"/>
      <c r="IR44" s="1722"/>
      <c r="IS44" s="1722"/>
      <c r="IT44" s="1722"/>
      <c r="IU44" s="1722"/>
      <c r="IV44" s="1722"/>
    </row>
    <row r="45" spans="1:256" s="1721" customFormat="1" ht="13.5" customHeight="1">
      <c r="A45" s="2939"/>
      <c r="B45" s="1867" t="s">
        <v>2745</v>
      </c>
      <c r="C45" s="1868" t="s">
        <v>2746</v>
      </c>
      <c r="D45" s="1869"/>
      <c r="E45" s="1870"/>
      <c r="F45" s="1871">
        <f t="shared" ref="F45:F51" si="16">SUM(G45:N45)</f>
        <v>0</v>
      </c>
      <c r="G45" s="1872">
        <f t="shared" ref="G45:N45" si="17">+(G374+G376)-(G161+G163)</f>
        <v>0</v>
      </c>
      <c r="H45" s="1872">
        <f t="shared" si="17"/>
        <v>0</v>
      </c>
      <c r="I45" s="1872">
        <f t="shared" si="17"/>
        <v>0</v>
      </c>
      <c r="J45" s="1872">
        <f>+(J374+J376)-(J161+J163)</f>
        <v>0</v>
      </c>
      <c r="K45" s="1872">
        <f>+(K374+K376)-(K161+K163)</f>
        <v>0</v>
      </c>
      <c r="L45" s="1872">
        <f t="shared" si="17"/>
        <v>0</v>
      </c>
      <c r="M45" s="1872">
        <f t="shared" si="17"/>
        <v>0</v>
      </c>
      <c r="N45" s="1873">
        <f t="shared" si="17"/>
        <v>0</v>
      </c>
      <c r="IA45" s="1722"/>
      <c r="IB45" s="1722"/>
      <c r="IC45" s="1722"/>
      <c r="ID45" s="1722"/>
      <c r="IE45" s="1722"/>
      <c r="IF45" s="1722"/>
      <c r="IG45" s="1722"/>
      <c r="IH45" s="1722"/>
      <c r="II45" s="1722"/>
      <c r="IJ45" s="1722"/>
      <c r="IK45" s="1722"/>
      <c r="IL45" s="1722"/>
      <c r="IM45" s="1722"/>
      <c r="IN45" s="1722"/>
      <c r="IO45" s="1722"/>
      <c r="IP45" s="1722"/>
      <c r="IQ45" s="1722"/>
      <c r="IR45" s="1722"/>
      <c r="IS45" s="1722"/>
      <c r="IT45" s="1722"/>
      <c r="IU45" s="1722"/>
      <c r="IV45" s="1722"/>
    </row>
    <row r="46" spans="1:256" s="1721" customFormat="1" ht="16">
      <c r="A46" s="2939"/>
      <c r="B46" s="1874" t="s">
        <v>2747</v>
      </c>
      <c r="C46" s="1875" t="s">
        <v>2845</v>
      </c>
      <c r="D46" s="1869"/>
      <c r="E46" s="1870"/>
      <c r="F46" s="1871">
        <f t="shared" si="16"/>
        <v>0</v>
      </c>
      <c r="G46" s="1872">
        <f t="shared" ref="G46:N46" si="18">SUM(G377:G381)-SUM(G164:G168)</f>
        <v>0</v>
      </c>
      <c r="H46" s="1872">
        <f t="shared" si="18"/>
        <v>0</v>
      </c>
      <c r="I46" s="1872">
        <f t="shared" si="18"/>
        <v>0</v>
      </c>
      <c r="J46" s="1872">
        <f>SUM(J377:J381)-SUM(J164:J168)</f>
        <v>0</v>
      </c>
      <c r="K46" s="1872">
        <f>SUM(K377:K381)-SUM(K164:K168)</f>
        <v>0</v>
      </c>
      <c r="L46" s="1872">
        <f t="shared" si="18"/>
        <v>0</v>
      </c>
      <c r="M46" s="1872">
        <f t="shared" si="18"/>
        <v>0</v>
      </c>
      <c r="N46" s="1873">
        <f t="shared" si="18"/>
        <v>0</v>
      </c>
      <c r="IA46" s="1722"/>
      <c r="IB46" s="1722"/>
      <c r="IC46" s="1722"/>
      <c r="ID46" s="1722"/>
      <c r="IE46" s="1722"/>
      <c r="IF46" s="1722"/>
      <c r="IG46" s="1722"/>
      <c r="IH46" s="1722"/>
      <c r="II46" s="1722"/>
      <c r="IJ46" s="1722"/>
      <c r="IK46" s="1722"/>
      <c r="IL46" s="1722"/>
      <c r="IM46" s="1722"/>
      <c r="IN46" s="1722"/>
      <c r="IO46" s="1722"/>
      <c r="IP46" s="1722"/>
      <c r="IQ46" s="1722"/>
      <c r="IR46" s="1722"/>
      <c r="IS46" s="1722"/>
      <c r="IT46" s="1722"/>
      <c r="IU46" s="1722"/>
      <c r="IV46" s="1722"/>
    </row>
    <row r="47" spans="1:256" s="1721" customFormat="1" ht="16">
      <c r="A47" s="2939"/>
      <c r="B47" s="1876" t="s">
        <v>477</v>
      </c>
      <c r="C47" s="1875" t="s">
        <v>2846</v>
      </c>
      <c r="D47" s="1869">
        <f>IF(OR($AA$2="下請け",$AA$2="下請"),0.6,1)</f>
        <v>1</v>
      </c>
      <c r="E47" s="1870">
        <v>0.02</v>
      </c>
      <c r="F47" s="1871">
        <f t="shared" si="16"/>
        <v>0</v>
      </c>
      <c r="G47" s="1872">
        <f t="shared" ref="G47:N47" si="19">SUM(G382:G383)-SUM(G169:G170)</f>
        <v>0</v>
      </c>
      <c r="H47" s="1872">
        <f t="shared" si="19"/>
        <v>0</v>
      </c>
      <c r="I47" s="1872">
        <f t="shared" si="19"/>
        <v>0</v>
      </c>
      <c r="J47" s="1872">
        <f>SUM(J382:J383)-SUM(J169:J170)</f>
        <v>0</v>
      </c>
      <c r="K47" s="1872">
        <f>SUM(K382:K383)-SUM(K169:K170)</f>
        <v>0</v>
      </c>
      <c r="L47" s="1872">
        <f t="shared" si="19"/>
        <v>0</v>
      </c>
      <c r="M47" s="1872">
        <f t="shared" si="19"/>
        <v>0</v>
      </c>
      <c r="N47" s="1873">
        <f t="shared" si="19"/>
        <v>0</v>
      </c>
      <c r="IA47" s="1722"/>
      <c r="IB47" s="1722"/>
      <c r="IC47" s="1722"/>
      <c r="ID47" s="1722"/>
      <c r="IE47" s="1722"/>
      <c r="IF47" s="1722"/>
      <c r="IG47" s="1722"/>
      <c r="IH47" s="1722"/>
      <c r="II47" s="1722"/>
      <c r="IJ47" s="1722"/>
      <c r="IK47" s="1722"/>
      <c r="IL47" s="1722"/>
      <c r="IM47" s="1722"/>
      <c r="IN47" s="1722"/>
      <c r="IO47" s="1722"/>
      <c r="IP47" s="1722"/>
      <c r="IQ47" s="1722"/>
      <c r="IR47" s="1722"/>
      <c r="IS47" s="1722"/>
      <c r="IT47" s="1722"/>
      <c r="IU47" s="1722"/>
      <c r="IV47" s="1722"/>
    </row>
    <row r="48" spans="1:256" s="1721" customFormat="1" ht="13.5" customHeight="1">
      <c r="A48" s="2939"/>
      <c r="B48" s="1877" t="s">
        <v>2847</v>
      </c>
      <c r="C48" s="1878" t="s">
        <v>2751</v>
      </c>
      <c r="D48" s="1879">
        <f>IF(OR($AA$2="下請け",$AA$2="下請"),0.6,1)</f>
        <v>1</v>
      </c>
      <c r="E48" s="1880">
        <v>0</v>
      </c>
      <c r="F48" s="1881">
        <f t="shared" si="16"/>
        <v>0</v>
      </c>
      <c r="G48" s="1882">
        <v>0</v>
      </c>
      <c r="H48" s="1882">
        <v>0</v>
      </c>
      <c r="I48" s="1882">
        <v>0</v>
      </c>
      <c r="J48" s="1882">
        <v>0</v>
      </c>
      <c r="K48" s="1882">
        <v>0</v>
      </c>
      <c r="L48" s="1882">
        <v>0</v>
      </c>
      <c r="M48" s="1882">
        <v>0</v>
      </c>
      <c r="N48" s="1883">
        <v>0</v>
      </c>
      <c r="IA48" s="1722"/>
      <c r="IB48" s="1722"/>
      <c r="IC48" s="1722"/>
      <c r="ID48" s="1722"/>
      <c r="IE48" s="1722"/>
      <c r="IF48" s="1722"/>
      <c r="IG48" s="1722"/>
      <c r="IH48" s="1722"/>
      <c r="II48" s="1722"/>
      <c r="IJ48" s="1722"/>
      <c r="IK48" s="1722"/>
      <c r="IL48" s="1722"/>
      <c r="IM48" s="1722"/>
      <c r="IN48" s="1722"/>
      <c r="IO48" s="1722"/>
      <c r="IP48" s="1722"/>
      <c r="IQ48" s="1722"/>
      <c r="IR48" s="1722"/>
      <c r="IS48" s="1722"/>
      <c r="IT48" s="1722"/>
      <c r="IU48" s="1722"/>
      <c r="IV48" s="1722"/>
    </row>
    <row r="49" spans="1:256" s="1721" customFormat="1" ht="16">
      <c r="A49" s="1884"/>
      <c r="B49" s="2942" t="s">
        <v>2848</v>
      </c>
      <c r="C49" s="2943"/>
      <c r="D49" s="1885"/>
      <c r="E49" s="1886"/>
      <c r="F49" s="1887">
        <f t="shared" si="16"/>
        <v>0</v>
      </c>
      <c r="G49" s="1872">
        <f t="shared" ref="G49:N49" si="20">G385-G172</f>
        <v>0</v>
      </c>
      <c r="H49" s="1872">
        <f t="shared" si="20"/>
        <v>0</v>
      </c>
      <c r="I49" s="1872">
        <f t="shared" si="20"/>
        <v>0</v>
      </c>
      <c r="J49" s="1872">
        <f>J385-J172</f>
        <v>0</v>
      </c>
      <c r="K49" s="1872">
        <f>K385-K172</f>
        <v>0</v>
      </c>
      <c r="L49" s="1872">
        <f t="shared" si="20"/>
        <v>0</v>
      </c>
      <c r="M49" s="1872">
        <f t="shared" si="20"/>
        <v>0</v>
      </c>
      <c r="N49" s="1873">
        <f t="shared" si="20"/>
        <v>0</v>
      </c>
      <c r="IA49" s="1722"/>
      <c r="IB49" s="1722"/>
      <c r="IC49" s="1722"/>
      <c r="ID49" s="1722"/>
      <c r="IE49" s="1722"/>
      <c r="IF49" s="1722"/>
      <c r="IG49" s="1722"/>
      <c r="IH49" s="1722"/>
      <c r="II49" s="1722"/>
      <c r="IJ49" s="1722"/>
      <c r="IK49" s="1722"/>
      <c r="IL49" s="1722"/>
      <c r="IM49" s="1722"/>
      <c r="IN49" s="1722"/>
      <c r="IO49" s="1722"/>
      <c r="IP49" s="1722"/>
      <c r="IQ49" s="1722"/>
      <c r="IR49" s="1722"/>
      <c r="IS49" s="1722"/>
      <c r="IT49" s="1722"/>
      <c r="IU49" s="1722"/>
      <c r="IV49" s="1722"/>
    </row>
    <row r="50" spans="1:256" s="1721" customFormat="1" ht="16">
      <c r="A50" s="1884"/>
      <c r="B50" s="1888"/>
      <c r="C50" s="1889" t="s">
        <v>2578</v>
      </c>
      <c r="D50" s="1885"/>
      <c r="E50" s="1886"/>
      <c r="F50" s="1887">
        <f t="shared" si="16"/>
        <v>0</v>
      </c>
      <c r="G50" s="1872">
        <f t="shared" ref="G50:N50" si="21">IF(G$13=0,IF(G$8=G$87,G$49,0),0)</f>
        <v>0</v>
      </c>
      <c r="H50" s="1872">
        <f t="shared" si="21"/>
        <v>0</v>
      </c>
      <c r="I50" s="1872">
        <f t="shared" si="21"/>
        <v>0</v>
      </c>
      <c r="J50" s="1872">
        <f t="shared" si="21"/>
        <v>0</v>
      </c>
      <c r="K50" s="1872">
        <f t="shared" si="21"/>
        <v>0</v>
      </c>
      <c r="L50" s="1872">
        <f t="shared" si="21"/>
        <v>0</v>
      </c>
      <c r="M50" s="1872">
        <f t="shared" si="21"/>
        <v>0</v>
      </c>
      <c r="N50" s="1873">
        <f t="shared" si="21"/>
        <v>0</v>
      </c>
      <c r="IA50" s="1722"/>
      <c r="IB50" s="1722"/>
      <c r="IC50" s="1722"/>
      <c r="ID50" s="1722"/>
      <c r="IE50" s="1722"/>
      <c r="IF50" s="1722"/>
      <c r="IG50" s="1722"/>
      <c r="IH50" s="1722"/>
      <c r="II50" s="1722"/>
      <c r="IJ50" s="1722"/>
      <c r="IK50" s="1722"/>
      <c r="IL50" s="1722"/>
      <c r="IM50" s="1722"/>
      <c r="IN50" s="1722"/>
      <c r="IO50" s="1722"/>
      <c r="IP50" s="1722"/>
      <c r="IQ50" s="1722"/>
      <c r="IR50" s="1722"/>
      <c r="IS50" s="1722"/>
      <c r="IT50" s="1722"/>
      <c r="IU50" s="1722"/>
      <c r="IV50" s="1722"/>
    </row>
    <row r="51" spans="1:256" s="1721" customFormat="1" ht="16">
      <c r="A51" s="1884"/>
      <c r="B51" s="1888"/>
      <c r="C51" s="1889" t="s">
        <v>2533</v>
      </c>
      <c r="D51" s="1885"/>
      <c r="E51" s="1886"/>
      <c r="F51" s="1887">
        <f t="shared" si="16"/>
        <v>0</v>
      </c>
      <c r="G51" s="1872">
        <f t="shared" ref="G51:N51" si="22">G13-G41</f>
        <v>0</v>
      </c>
      <c r="H51" s="1872">
        <f t="shared" si="22"/>
        <v>0</v>
      </c>
      <c r="I51" s="1872">
        <f t="shared" si="22"/>
        <v>0</v>
      </c>
      <c r="J51" s="1872">
        <f>J13-J41</f>
        <v>0</v>
      </c>
      <c r="K51" s="1872">
        <f>K13-K41</f>
        <v>0</v>
      </c>
      <c r="L51" s="1872">
        <f t="shared" si="22"/>
        <v>0</v>
      </c>
      <c r="M51" s="1872">
        <f t="shared" si="22"/>
        <v>0</v>
      </c>
      <c r="N51" s="1873">
        <f t="shared" si="22"/>
        <v>0</v>
      </c>
      <c r="IA51" s="1722"/>
      <c r="IB51" s="1722"/>
      <c r="IC51" s="1722"/>
      <c r="ID51" s="1722"/>
      <c r="IE51" s="1722"/>
      <c r="IF51" s="1722"/>
      <c r="IG51" s="1722"/>
      <c r="IH51" s="1722"/>
      <c r="II51" s="1722"/>
      <c r="IJ51" s="1722"/>
      <c r="IK51" s="1722"/>
      <c r="IL51" s="1722"/>
      <c r="IM51" s="1722"/>
      <c r="IN51" s="1722"/>
      <c r="IO51" s="1722"/>
      <c r="IP51" s="1722"/>
      <c r="IQ51" s="1722"/>
      <c r="IR51" s="1722"/>
      <c r="IS51" s="1722"/>
      <c r="IT51" s="1722"/>
      <c r="IU51" s="1722"/>
      <c r="IV51" s="1722"/>
    </row>
    <row r="52" spans="1:256" s="1721" customFormat="1" ht="16">
      <c r="A52" s="1884"/>
      <c r="B52" s="1888"/>
      <c r="C52" s="1889" t="s">
        <v>2849</v>
      </c>
      <c r="D52" s="1885"/>
      <c r="E52" s="1886"/>
      <c r="F52" s="1887">
        <f>SUM(G52:P52)</f>
        <v>0</v>
      </c>
      <c r="G52" s="1872">
        <f t="shared" ref="G52:N52" si="23">IF($F$50=0,0,IF(G50=0,INT(G51/$F51*$F50),0))</f>
        <v>0</v>
      </c>
      <c r="H52" s="1872">
        <f t="shared" si="23"/>
        <v>0</v>
      </c>
      <c r="I52" s="1872">
        <f t="shared" si="23"/>
        <v>0</v>
      </c>
      <c r="J52" s="1872">
        <f>IF($F$50=0,0,IF(J50=0,INT(J51/$F51*$F50),0))</f>
        <v>0</v>
      </c>
      <c r="K52" s="1872">
        <f>IF($F$50=0,0,IF(K50=0,INT(K51/$F51*$F50),0))</f>
        <v>0</v>
      </c>
      <c r="L52" s="1872">
        <f t="shared" si="23"/>
        <v>0</v>
      </c>
      <c r="M52" s="1872">
        <f t="shared" si="23"/>
        <v>0</v>
      </c>
      <c r="N52" s="1873">
        <f t="shared" si="23"/>
        <v>0</v>
      </c>
      <c r="IA52" s="1722"/>
      <c r="IB52" s="1722"/>
      <c r="IC52" s="1722"/>
      <c r="ID52" s="1722"/>
      <c r="IE52" s="1722"/>
      <c r="IF52" s="1722"/>
      <c r="IG52" s="1722"/>
      <c r="IH52" s="1722"/>
      <c r="II52" s="1722"/>
      <c r="IJ52" s="1722"/>
      <c r="IK52" s="1722"/>
      <c r="IL52" s="1722"/>
      <c r="IM52" s="1722"/>
      <c r="IN52" s="1722"/>
      <c r="IO52" s="1722"/>
      <c r="IP52" s="1722"/>
      <c r="IQ52" s="1722"/>
      <c r="IR52" s="1722"/>
      <c r="IS52" s="1722"/>
      <c r="IT52" s="1722"/>
      <c r="IU52" s="1722"/>
      <c r="IV52" s="1722"/>
    </row>
    <row r="53" spans="1:256" s="1721" customFormat="1" ht="16">
      <c r="A53" s="1884"/>
      <c r="B53" s="1888"/>
      <c r="C53" s="1889" t="s">
        <v>2850</v>
      </c>
      <c r="D53" s="1885"/>
      <c r="E53" s="1886"/>
      <c r="F53" s="1887">
        <f>F50-F52</f>
        <v>0</v>
      </c>
      <c r="G53" s="1872">
        <f>IF($F53=0,0,IF(G52=0,0,$F53))</f>
        <v>0</v>
      </c>
      <c r="H53" s="1872">
        <f>IF($F53=0,0,IF(H52=0,0,IF(SUM($G53:G53)=0,$F53,0)))</f>
        <v>0</v>
      </c>
      <c r="I53" s="1872">
        <f>IF($F53=0,0,IF(I52=0,0,IF(SUM($G53:H53)=0,$F53,0)))</f>
        <v>0</v>
      </c>
      <c r="J53" s="1872">
        <f>IF($F53=0,0,IF(J52=0,0,IF(SUM($G53:I53)=0,$F53,0)))</f>
        <v>0</v>
      </c>
      <c r="K53" s="1872">
        <f>IF($F53=0,0,IF(K52=0,0,IF(SUM($G53:J53)=0,$F53,0)))</f>
        <v>0</v>
      </c>
      <c r="L53" s="1872">
        <f>IF($F53=0,0,IF(L52=0,0,IF(SUM($G53:I53)=0,$F53,0)))</f>
        <v>0</v>
      </c>
      <c r="M53" s="1872">
        <f>IF($F53=0,0,IF(M52=0,0,IF(SUM($G53:L53)=0,$F53,0)))</f>
        <v>0</v>
      </c>
      <c r="N53" s="1873">
        <f>IF($F53=0,0,IF(N52=0,0,IF(SUM($G53:M53)=0,$F53,0)))</f>
        <v>0</v>
      </c>
      <c r="IA53" s="1722"/>
      <c r="IB53" s="1722"/>
      <c r="IC53" s="1722"/>
      <c r="ID53" s="1722"/>
      <c r="IE53" s="1722"/>
      <c r="IF53" s="1722"/>
      <c r="IG53" s="1722"/>
      <c r="IH53" s="1722"/>
      <c r="II53" s="1722"/>
      <c r="IJ53" s="1722"/>
      <c r="IK53" s="1722"/>
      <c r="IL53" s="1722"/>
      <c r="IM53" s="1722"/>
      <c r="IN53" s="1722"/>
      <c r="IO53" s="1722"/>
      <c r="IP53" s="1722"/>
      <c r="IQ53" s="1722"/>
      <c r="IR53" s="1722"/>
      <c r="IS53" s="1722"/>
      <c r="IT53" s="1722"/>
      <c r="IU53" s="1722"/>
      <c r="IV53" s="1722"/>
    </row>
    <row r="54" spans="1:256" s="1721" customFormat="1" ht="17" thickBot="1">
      <c r="A54" s="1884"/>
      <c r="B54" s="2944" t="s">
        <v>2851</v>
      </c>
      <c r="C54" s="2945"/>
      <c r="D54" s="1890"/>
      <c r="E54" s="1891"/>
      <c r="F54" s="1892">
        <f>SUM(G54:P54)</f>
        <v>0</v>
      </c>
      <c r="G54" s="1838">
        <f t="shared" ref="G54:N54" si="24">IF(G42=0,IF(G13=0,IF(G8=G87,0,G49+G52+G53),G49+G52+G53),G42)</f>
        <v>0</v>
      </c>
      <c r="H54" s="1838">
        <f t="shared" si="24"/>
        <v>0</v>
      </c>
      <c r="I54" s="1838">
        <f t="shared" si="24"/>
        <v>0</v>
      </c>
      <c r="J54" s="1838">
        <f t="shared" si="24"/>
        <v>0</v>
      </c>
      <c r="K54" s="1838">
        <f t="shared" si="24"/>
        <v>0</v>
      </c>
      <c r="L54" s="1838">
        <f t="shared" si="24"/>
        <v>0</v>
      </c>
      <c r="M54" s="1838">
        <f t="shared" si="24"/>
        <v>0</v>
      </c>
      <c r="N54" s="1839">
        <f t="shared" si="24"/>
        <v>0</v>
      </c>
      <c r="IA54" s="1722"/>
      <c r="IB54" s="1722"/>
      <c r="IC54" s="1722"/>
      <c r="ID54" s="1722"/>
      <c r="IE54" s="1722"/>
      <c r="IF54" s="1722"/>
      <c r="IG54" s="1722"/>
      <c r="IH54" s="1722"/>
      <c r="II54" s="1722"/>
      <c r="IJ54" s="1722"/>
      <c r="IK54" s="1722"/>
      <c r="IL54" s="1722"/>
      <c r="IM54" s="1722"/>
      <c r="IN54" s="1722"/>
      <c r="IO54" s="1722"/>
      <c r="IP54" s="1722"/>
      <c r="IQ54" s="1722"/>
      <c r="IR54" s="1722"/>
      <c r="IS54" s="1722"/>
      <c r="IT54" s="1722"/>
      <c r="IU54" s="1722"/>
      <c r="IV54" s="1722"/>
    </row>
    <row r="55" spans="1:256" s="1721" customFormat="1" ht="16">
      <c r="A55" s="1893"/>
      <c r="B55" s="1894"/>
      <c r="C55" s="1895" t="s">
        <v>2742</v>
      </c>
      <c r="D55" s="1896"/>
      <c r="E55" s="1897"/>
      <c r="F55" s="1898">
        <f>SUM(G55:N55)</f>
        <v>0</v>
      </c>
      <c r="G55" s="1899">
        <f t="shared" ref="G55:N55" si="25">G13+G14</f>
        <v>0</v>
      </c>
      <c r="H55" s="1899">
        <f t="shared" si="25"/>
        <v>0</v>
      </c>
      <c r="I55" s="1899">
        <f t="shared" si="25"/>
        <v>0</v>
      </c>
      <c r="J55" s="1899">
        <f>J13+J14</f>
        <v>0</v>
      </c>
      <c r="K55" s="1899">
        <f>K13+K14</f>
        <v>0</v>
      </c>
      <c r="L55" s="1899">
        <f t="shared" si="25"/>
        <v>0</v>
      </c>
      <c r="M55" s="1899">
        <f t="shared" si="25"/>
        <v>0</v>
      </c>
      <c r="N55" s="1900">
        <f t="shared" si="25"/>
        <v>0</v>
      </c>
      <c r="IA55" s="1722"/>
      <c r="IB55" s="1722"/>
      <c r="IC55" s="1722"/>
      <c r="ID55" s="1722"/>
      <c r="IE55" s="1722"/>
      <c r="IF55" s="1722"/>
      <c r="IG55" s="1722"/>
      <c r="IH55" s="1722"/>
      <c r="II55" s="1722"/>
      <c r="IJ55" s="1722"/>
      <c r="IK55" s="1722"/>
      <c r="IL55" s="1722"/>
      <c r="IM55" s="1722"/>
      <c r="IN55" s="1722"/>
      <c r="IO55" s="1722"/>
      <c r="IP55" s="1722"/>
      <c r="IQ55" s="1722"/>
      <c r="IR55" s="1722"/>
      <c r="IS55" s="1722"/>
      <c r="IT55" s="1722"/>
      <c r="IU55" s="1722"/>
      <c r="IV55" s="1722"/>
    </row>
    <row r="56" spans="1:256" s="1721" customFormat="1" ht="16">
      <c r="A56" s="1901"/>
      <c r="B56" s="1902"/>
      <c r="C56" s="1903" t="s">
        <v>2743</v>
      </c>
      <c r="D56" s="1904"/>
      <c r="E56" s="1905"/>
      <c r="F56" s="1906">
        <f>SUM(G56:N56)</f>
        <v>0</v>
      </c>
      <c r="G56" s="1907">
        <f t="shared" ref="G56:N56" si="26">G317-G104</f>
        <v>0</v>
      </c>
      <c r="H56" s="1907">
        <f t="shared" si="26"/>
        <v>0</v>
      </c>
      <c r="I56" s="1907">
        <f t="shared" si="26"/>
        <v>0</v>
      </c>
      <c r="J56" s="1907">
        <f>J317-J104</f>
        <v>0</v>
      </c>
      <c r="K56" s="1907">
        <f>K317-K104</f>
        <v>0</v>
      </c>
      <c r="L56" s="1907">
        <f t="shared" si="26"/>
        <v>0</v>
      </c>
      <c r="M56" s="1907">
        <f t="shared" si="26"/>
        <v>0</v>
      </c>
      <c r="N56" s="1908">
        <f t="shared" si="26"/>
        <v>0</v>
      </c>
      <c r="IA56" s="1722"/>
      <c r="IB56" s="1722"/>
      <c r="IC56" s="1722"/>
      <c r="ID56" s="1722"/>
      <c r="IE56" s="1722"/>
      <c r="IF56" s="1722"/>
      <c r="IG56" s="1722"/>
      <c r="IH56" s="1722"/>
      <c r="II56" s="1722"/>
      <c r="IJ56" s="1722"/>
      <c r="IK56" s="1722"/>
      <c r="IL56" s="1722"/>
      <c r="IM56" s="1722"/>
      <c r="IN56" s="1722"/>
      <c r="IO56" s="1722"/>
      <c r="IP56" s="1722"/>
      <c r="IQ56" s="1722"/>
      <c r="IR56" s="1722"/>
      <c r="IS56" s="1722"/>
      <c r="IT56" s="1722"/>
      <c r="IU56" s="1722"/>
      <c r="IV56" s="1722"/>
    </row>
    <row r="57" spans="1:256" s="1721" customFormat="1" ht="16">
      <c r="A57" s="2951" t="s">
        <v>2852</v>
      </c>
      <c r="B57" s="2951"/>
      <c r="C57" s="2952"/>
      <c r="D57" s="1909"/>
      <c r="E57" s="1910"/>
      <c r="F57" s="1911"/>
      <c r="G57" s="1912"/>
      <c r="H57" s="1912"/>
      <c r="I57" s="1912"/>
      <c r="J57" s="1912"/>
      <c r="K57" s="1912"/>
      <c r="L57" s="1912"/>
      <c r="M57" s="1912"/>
      <c r="N57" s="1913"/>
      <c r="IA57" s="1722"/>
      <c r="IB57" s="1722"/>
      <c r="IC57" s="1722"/>
      <c r="ID57" s="1722"/>
      <c r="IE57" s="1722"/>
      <c r="IF57" s="1722"/>
      <c r="IG57" s="1722"/>
      <c r="IH57" s="1722"/>
      <c r="II57" s="1722"/>
      <c r="IJ57" s="1722"/>
      <c r="IK57" s="1722"/>
      <c r="IL57" s="1722"/>
      <c r="IM57" s="1722"/>
      <c r="IN57" s="1722"/>
      <c r="IO57" s="1722"/>
      <c r="IP57" s="1722"/>
      <c r="IQ57" s="1722"/>
      <c r="IR57" s="1722"/>
      <c r="IS57" s="1722"/>
      <c r="IT57" s="1722"/>
      <c r="IU57" s="1722"/>
      <c r="IV57" s="1722"/>
    </row>
    <row r="58" spans="1:256" s="1721" customFormat="1" ht="13.5" customHeight="1">
      <c r="A58" s="2939"/>
      <c r="B58" s="1867" t="s">
        <v>2745</v>
      </c>
      <c r="C58" s="1868" t="s">
        <v>2746</v>
      </c>
      <c r="D58" s="1869"/>
      <c r="E58" s="1870"/>
      <c r="F58" s="1871">
        <f t="shared" ref="F58:F65" si="27">SUM(G58:N58)</f>
        <v>0</v>
      </c>
      <c r="G58" s="1872">
        <f t="shared" ref="G58:N58" si="28">+(G410+G412+G414+G415)-(G197+G199+G201+G202)</f>
        <v>0</v>
      </c>
      <c r="H58" s="1872">
        <f t="shared" si="28"/>
        <v>0</v>
      </c>
      <c r="I58" s="1872">
        <f t="shared" si="28"/>
        <v>0</v>
      </c>
      <c r="J58" s="1872">
        <f>+(J410+J412+J414+J415)-(J197+J199+J201+J202)</f>
        <v>0</v>
      </c>
      <c r="K58" s="1872">
        <f>+(K410+K412+K414+K415)-(K197+K199+K201+K202)</f>
        <v>0</v>
      </c>
      <c r="L58" s="1872">
        <f t="shared" si="28"/>
        <v>0</v>
      </c>
      <c r="M58" s="1872">
        <f t="shared" si="28"/>
        <v>0</v>
      </c>
      <c r="N58" s="1873">
        <f t="shared" si="28"/>
        <v>0</v>
      </c>
      <c r="IA58" s="1722"/>
      <c r="IB58" s="1722"/>
      <c r="IC58" s="1722"/>
      <c r="ID58" s="1722"/>
      <c r="IE58" s="1722"/>
      <c r="IF58" s="1722"/>
      <c r="IG58" s="1722"/>
      <c r="IH58" s="1722"/>
      <c r="II58" s="1722"/>
      <c r="IJ58" s="1722"/>
      <c r="IK58" s="1722"/>
      <c r="IL58" s="1722"/>
      <c r="IM58" s="1722"/>
      <c r="IN58" s="1722"/>
      <c r="IO58" s="1722"/>
      <c r="IP58" s="1722"/>
      <c r="IQ58" s="1722"/>
      <c r="IR58" s="1722"/>
      <c r="IS58" s="1722"/>
      <c r="IT58" s="1722"/>
      <c r="IU58" s="1722"/>
      <c r="IV58" s="1722"/>
    </row>
    <row r="59" spans="1:256" s="1721" customFormat="1" ht="16">
      <c r="A59" s="2939"/>
      <c r="B59" s="1874" t="s">
        <v>2747</v>
      </c>
      <c r="C59" s="1875" t="s">
        <v>2845</v>
      </c>
      <c r="D59" s="1869"/>
      <c r="E59" s="1870"/>
      <c r="F59" s="1871">
        <f t="shared" si="27"/>
        <v>0</v>
      </c>
      <c r="G59" s="1872">
        <f t="shared" ref="G59:N59" si="29">SUM(G416:G423)-SUM(G203:G210)</f>
        <v>0</v>
      </c>
      <c r="H59" s="1872">
        <f t="shared" si="29"/>
        <v>0</v>
      </c>
      <c r="I59" s="1872">
        <f t="shared" si="29"/>
        <v>0</v>
      </c>
      <c r="J59" s="1872">
        <f>SUM(J416:J423)-SUM(J203:J210)</f>
        <v>0</v>
      </c>
      <c r="K59" s="1872">
        <f>SUM(K416:K423)-SUM(K203:K210)</f>
        <v>0</v>
      </c>
      <c r="L59" s="1872">
        <f t="shared" si="29"/>
        <v>0</v>
      </c>
      <c r="M59" s="1872">
        <f t="shared" si="29"/>
        <v>0</v>
      </c>
      <c r="N59" s="1873">
        <f t="shared" si="29"/>
        <v>0</v>
      </c>
      <c r="IA59" s="1722"/>
      <c r="IB59" s="1722"/>
      <c r="IC59" s="1722"/>
      <c r="ID59" s="1722"/>
      <c r="IE59" s="1722"/>
      <c r="IF59" s="1722"/>
      <c r="IG59" s="1722"/>
      <c r="IH59" s="1722"/>
      <c r="II59" s="1722"/>
      <c r="IJ59" s="1722"/>
      <c r="IK59" s="1722"/>
      <c r="IL59" s="1722"/>
      <c r="IM59" s="1722"/>
      <c r="IN59" s="1722"/>
      <c r="IO59" s="1722"/>
      <c r="IP59" s="1722"/>
      <c r="IQ59" s="1722"/>
      <c r="IR59" s="1722"/>
      <c r="IS59" s="1722"/>
      <c r="IT59" s="1722"/>
      <c r="IU59" s="1722"/>
      <c r="IV59" s="1722"/>
    </row>
    <row r="60" spans="1:256" s="1721" customFormat="1" ht="16">
      <c r="A60" s="2939"/>
      <c r="B60" s="1876" t="s">
        <v>477</v>
      </c>
      <c r="C60" s="1875" t="s">
        <v>2749</v>
      </c>
      <c r="D60" s="1869">
        <f>IF(OR($AA$2="下請け",$AA$2="下請"),0.6,1)</f>
        <v>1</v>
      </c>
      <c r="E60" s="1870">
        <v>0.02</v>
      </c>
      <c r="F60" s="1871">
        <f t="shared" si="27"/>
        <v>0</v>
      </c>
      <c r="G60" s="1872">
        <f t="shared" ref="G60:N60" si="30">SUM(G424:G426)-SUM(G211:G213)</f>
        <v>0</v>
      </c>
      <c r="H60" s="1872">
        <f t="shared" si="30"/>
        <v>0</v>
      </c>
      <c r="I60" s="1872">
        <f t="shared" si="30"/>
        <v>0</v>
      </c>
      <c r="J60" s="1872">
        <f>SUM(J424:J426)-SUM(J211:J213)</f>
        <v>0</v>
      </c>
      <c r="K60" s="1872">
        <f>SUM(K424:K426)-SUM(K211:K213)</f>
        <v>0</v>
      </c>
      <c r="L60" s="1872">
        <f t="shared" si="30"/>
        <v>0</v>
      </c>
      <c r="M60" s="1872">
        <f t="shared" si="30"/>
        <v>0</v>
      </c>
      <c r="N60" s="1873">
        <f t="shared" si="30"/>
        <v>0</v>
      </c>
      <c r="IA60" s="1722"/>
      <c r="IB60" s="1722"/>
      <c r="IC60" s="1722"/>
      <c r="ID60" s="1722"/>
      <c r="IE60" s="1722"/>
      <c r="IF60" s="1722"/>
      <c r="IG60" s="1722"/>
      <c r="IH60" s="1722"/>
      <c r="II60" s="1722"/>
      <c r="IJ60" s="1722"/>
      <c r="IK60" s="1722"/>
      <c r="IL60" s="1722"/>
      <c r="IM60" s="1722"/>
      <c r="IN60" s="1722"/>
      <c r="IO60" s="1722"/>
      <c r="IP60" s="1722"/>
      <c r="IQ60" s="1722"/>
      <c r="IR60" s="1722"/>
      <c r="IS60" s="1722"/>
      <c r="IT60" s="1722"/>
      <c r="IU60" s="1722"/>
      <c r="IV60" s="1722"/>
    </row>
    <row r="61" spans="1:256" s="1721" customFormat="1" ht="16">
      <c r="A61" s="2939"/>
      <c r="B61" s="2940" t="s">
        <v>2847</v>
      </c>
      <c r="C61" s="1878" t="s">
        <v>2751</v>
      </c>
      <c r="D61" s="1879">
        <f>IF(OR($AA$2="下請け",$AA$2="下請"),0.6,1)</f>
        <v>1</v>
      </c>
      <c r="E61" s="1880">
        <v>0</v>
      </c>
      <c r="F61" s="1881">
        <f t="shared" si="27"/>
        <v>0</v>
      </c>
      <c r="G61" s="1914">
        <v>0</v>
      </c>
      <c r="H61" s="1914">
        <v>0</v>
      </c>
      <c r="I61" s="1914">
        <v>0</v>
      </c>
      <c r="J61" s="1914">
        <v>0</v>
      </c>
      <c r="K61" s="1914">
        <v>0</v>
      </c>
      <c r="L61" s="1914">
        <v>0</v>
      </c>
      <c r="M61" s="1914">
        <v>0</v>
      </c>
      <c r="N61" s="1915">
        <v>0</v>
      </c>
      <c r="IA61" s="1722"/>
      <c r="IB61" s="1722"/>
      <c r="IC61" s="1722"/>
      <c r="ID61" s="1722"/>
      <c r="IE61" s="1722"/>
      <c r="IF61" s="1722"/>
      <c r="IG61" s="1722"/>
      <c r="IH61" s="1722"/>
      <c r="II61" s="1722"/>
      <c r="IJ61" s="1722"/>
      <c r="IK61" s="1722"/>
      <c r="IL61" s="1722"/>
      <c r="IM61" s="1722"/>
      <c r="IN61" s="1722"/>
      <c r="IO61" s="1722"/>
      <c r="IP61" s="1722"/>
      <c r="IQ61" s="1722"/>
      <c r="IR61" s="1722"/>
      <c r="IS61" s="1722"/>
      <c r="IT61" s="1722"/>
      <c r="IU61" s="1722"/>
      <c r="IV61" s="1722"/>
    </row>
    <row r="62" spans="1:256" s="1721" customFormat="1" ht="16">
      <c r="A62" s="2939"/>
      <c r="B62" s="2941"/>
      <c r="C62" s="1878" t="s">
        <v>2752</v>
      </c>
      <c r="D62" s="1879">
        <f>IF(OR($AA$2="下請け",$AA$2="下請"),0.6,1)</f>
        <v>1</v>
      </c>
      <c r="E62" s="1880">
        <v>0</v>
      </c>
      <c r="F62" s="1881">
        <f t="shared" si="27"/>
        <v>0</v>
      </c>
      <c r="G62" s="1859"/>
      <c r="H62" s="1859"/>
      <c r="I62" s="1859"/>
      <c r="J62" s="1859"/>
      <c r="K62" s="1859"/>
      <c r="L62" s="1859"/>
      <c r="M62" s="1859"/>
      <c r="N62" s="1860"/>
      <c r="IA62" s="1722"/>
      <c r="IB62" s="1722"/>
      <c r="IC62" s="1722"/>
      <c r="ID62" s="1722"/>
      <c r="IE62" s="1722"/>
      <c r="IF62" s="1722"/>
      <c r="IG62" s="1722"/>
      <c r="IH62" s="1722"/>
      <c r="II62" s="1722"/>
      <c r="IJ62" s="1722"/>
      <c r="IK62" s="1722"/>
      <c r="IL62" s="1722"/>
      <c r="IM62" s="1722"/>
      <c r="IN62" s="1722"/>
      <c r="IO62" s="1722"/>
      <c r="IP62" s="1722"/>
      <c r="IQ62" s="1722"/>
      <c r="IR62" s="1722"/>
      <c r="IS62" s="1722"/>
      <c r="IT62" s="1722"/>
      <c r="IU62" s="1722"/>
      <c r="IV62" s="1722"/>
    </row>
    <row r="63" spans="1:256" s="1721" customFormat="1" ht="16">
      <c r="A63" s="1884"/>
      <c r="B63" s="2942" t="s">
        <v>2753</v>
      </c>
      <c r="C63" s="2943"/>
      <c r="D63" s="1885"/>
      <c r="E63" s="1886"/>
      <c r="F63" s="1887">
        <f t="shared" si="27"/>
        <v>0</v>
      </c>
      <c r="G63" s="1872">
        <f t="shared" ref="G63:N63" si="31">G431-G218</f>
        <v>0</v>
      </c>
      <c r="H63" s="1872">
        <f t="shared" si="31"/>
        <v>0</v>
      </c>
      <c r="I63" s="1872">
        <f t="shared" si="31"/>
        <v>0</v>
      </c>
      <c r="J63" s="1872">
        <f>J431-J218</f>
        <v>0</v>
      </c>
      <c r="K63" s="1872">
        <f>K431-K218</f>
        <v>0</v>
      </c>
      <c r="L63" s="1872">
        <f t="shared" si="31"/>
        <v>0</v>
      </c>
      <c r="M63" s="1872">
        <f t="shared" si="31"/>
        <v>0</v>
      </c>
      <c r="N63" s="1873">
        <f t="shared" si="31"/>
        <v>0</v>
      </c>
      <c r="IA63" s="1722"/>
      <c r="IB63" s="1722"/>
      <c r="IC63" s="1722"/>
      <c r="ID63" s="1722"/>
      <c r="IE63" s="1722"/>
      <c r="IF63" s="1722"/>
      <c r="IG63" s="1722"/>
      <c r="IH63" s="1722"/>
      <c r="II63" s="1722"/>
      <c r="IJ63" s="1722"/>
      <c r="IK63" s="1722"/>
      <c r="IL63" s="1722"/>
      <c r="IM63" s="1722"/>
      <c r="IN63" s="1722"/>
      <c r="IO63" s="1722"/>
      <c r="IP63" s="1722"/>
      <c r="IQ63" s="1722"/>
      <c r="IR63" s="1722"/>
      <c r="IS63" s="1722"/>
      <c r="IT63" s="1722"/>
      <c r="IU63" s="1722"/>
      <c r="IV63" s="1722"/>
    </row>
    <row r="64" spans="1:256" s="1721" customFormat="1" ht="16">
      <c r="A64" s="1884"/>
      <c r="B64" s="1888"/>
      <c r="C64" s="1889" t="s">
        <v>2578</v>
      </c>
      <c r="D64" s="1885"/>
      <c r="E64" s="1886"/>
      <c r="F64" s="1887">
        <f t="shared" si="27"/>
        <v>0</v>
      </c>
      <c r="G64" s="1872">
        <f t="shared" ref="G64:N64" si="32">IF(G13=0,IF(G8=G87,G63,0),0)</f>
        <v>0</v>
      </c>
      <c r="H64" s="1872">
        <f t="shared" si="32"/>
        <v>0</v>
      </c>
      <c r="I64" s="1872">
        <f t="shared" si="32"/>
        <v>0</v>
      </c>
      <c r="J64" s="1872">
        <f t="shared" si="32"/>
        <v>0</v>
      </c>
      <c r="K64" s="1872">
        <f t="shared" si="32"/>
        <v>0</v>
      </c>
      <c r="L64" s="1872">
        <f t="shared" si="32"/>
        <v>0</v>
      </c>
      <c r="M64" s="1872">
        <f t="shared" si="32"/>
        <v>0</v>
      </c>
      <c r="N64" s="1873">
        <f t="shared" si="32"/>
        <v>0</v>
      </c>
      <c r="IA64" s="1722"/>
      <c r="IB64" s="1722"/>
      <c r="IC64" s="1722"/>
      <c r="ID64" s="1722"/>
      <c r="IE64" s="1722"/>
      <c r="IF64" s="1722"/>
      <c r="IG64" s="1722"/>
      <c r="IH64" s="1722"/>
      <c r="II64" s="1722"/>
      <c r="IJ64" s="1722"/>
      <c r="IK64" s="1722"/>
      <c r="IL64" s="1722"/>
      <c r="IM64" s="1722"/>
      <c r="IN64" s="1722"/>
      <c r="IO64" s="1722"/>
      <c r="IP64" s="1722"/>
      <c r="IQ64" s="1722"/>
      <c r="IR64" s="1722"/>
      <c r="IS64" s="1722"/>
      <c r="IT64" s="1722"/>
      <c r="IU64" s="1722"/>
      <c r="IV64" s="1722"/>
    </row>
    <row r="65" spans="1:256" s="1721" customFormat="1" ht="16">
      <c r="A65" s="1884"/>
      <c r="B65" s="1888"/>
      <c r="C65" s="1889" t="s">
        <v>2579</v>
      </c>
      <c r="D65" s="1885"/>
      <c r="E65" s="1886"/>
      <c r="F65" s="1887">
        <f t="shared" si="27"/>
        <v>0</v>
      </c>
      <c r="G65" s="1872">
        <f t="shared" ref="G65:N65" si="33">G55-(G41+G42)</f>
        <v>0</v>
      </c>
      <c r="H65" s="1872">
        <f t="shared" si="33"/>
        <v>0</v>
      </c>
      <c r="I65" s="1872">
        <f t="shared" si="33"/>
        <v>0</v>
      </c>
      <c r="J65" s="1872">
        <f>J55-(J41+J42)</f>
        <v>0</v>
      </c>
      <c r="K65" s="1872">
        <f>K55-(K41+K42)</f>
        <v>0</v>
      </c>
      <c r="L65" s="1872">
        <f t="shared" si="33"/>
        <v>0</v>
      </c>
      <c r="M65" s="1872">
        <f t="shared" si="33"/>
        <v>0</v>
      </c>
      <c r="N65" s="1873">
        <f t="shared" si="33"/>
        <v>0</v>
      </c>
      <c r="IA65" s="1722"/>
      <c r="IB65" s="1722"/>
      <c r="IC65" s="1722"/>
      <c r="ID65" s="1722"/>
      <c r="IE65" s="1722"/>
      <c r="IF65" s="1722"/>
      <c r="IG65" s="1722"/>
      <c r="IH65" s="1722"/>
      <c r="II65" s="1722"/>
      <c r="IJ65" s="1722"/>
      <c r="IK65" s="1722"/>
      <c r="IL65" s="1722"/>
      <c r="IM65" s="1722"/>
      <c r="IN65" s="1722"/>
      <c r="IO65" s="1722"/>
      <c r="IP65" s="1722"/>
      <c r="IQ65" s="1722"/>
      <c r="IR65" s="1722"/>
      <c r="IS65" s="1722"/>
      <c r="IT65" s="1722"/>
      <c r="IU65" s="1722"/>
      <c r="IV65" s="1722"/>
    </row>
    <row r="66" spans="1:256" s="1721" customFormat="1" ht="16">
      <c r="A66" s="1884"/>
      <c r="B66" s="1888"/>
      <c r="C66" s="1889" t="s">
        <v>2580</v>
      </c>
      <c r="D66" s="1885"/>
      <c r="E66" s="1886"/>
      <c r="F66" s="1887">
        <f>SUM(G66:P66)</f>
        <v>0</v>
      </c>
      <c r="G66" s="1845">
        <f t="shared" ref="G66:N66" si="34">IF($F$64=0,0,IF(G64=0,INT(G65/$F65*$F64),0))</f>
        <v>0</v>
      </c>
      <c r="H66" s="1845">
        <f t="shared" si="34"/>
        <v>0</v>
      </c>
      <c r="I66" s="1845">
        <f t="shared" si="34"/>
        <v>0</v>
      </c>
      <c r="J66" s="1845">
        <f>IF($F$64=0,0,IF(J64=0,INT(J65/$F65*$F64),0))</f>
        <v>0</v>
      </c>
      <c r="K66" s="1845">
        <f>IF($F$64=0,0,IF(K64=0,INT(K65/$F65*$F64),0))</f>
        <v>0</v>
      </c>
      <c r="L66" s="1845">
        <f t="shared" si="34"/>
        <v>0</v>
      </c>
      <c r="M66" s="1845">
        <f t="shared" si="34"/>
        <v>0</v>
      </c>
      <c r="N66" s="1846">
        <f t="shared" si="34"/>
        <v>0</v>
      </c>
      <c r="IA66" s="1722"/>
      <c r="IB66" s="1722"/>
      <c r="IC66" s="1722"/>
      <c r="ID66" s="1722"/>
      <c r="IE66" s="1722"/>
      <c r="IF66" s="1722"/>
      <c r="IG66" s="1722"/>
      <c r="IH66" s="1722"/>
      <c r="II66" s="1722"/>
      <c r="IJ66" s="1722"/>
      <c r="IK66" s="1722"/>
      <c r="IL66" s="1722"/>
      <c r="IM66" s="1722"/>
      <c r="IN66" s="1722"/>
      <c r="IO66" s="1722"/>
      <c r="IP66" s="1722"/>
      <c r="IQ66" s="1722"/>
      <c r="IR66" s="1722"/>
      <c r="IS66" s="1722"/>
      <c r="IT66" s="1722"/>
      <c r="IU66" s="1722"/>
      <c r="IV66" s="1722"/>
    </row>
    <row r="67" spans="1:256" s="1721" customFormat="1" ht="16">
      <c r="A67" s="1884"/>
      <c r="B67" s="1888"/>
      <c r="C67" s="1889" t="s">
        <v>2581</v>
      </c>
      <c r="D67" s="1885"/>
      <c r="E67" s="1886"/>
      <c r="F67" s="1887">
        <f>F64-F66</f>
        <v>0</v>
      </c>
      <c r="G67" s="1845">
        <f>IF($F67=0,0,IF(G66=0,0,$F67))</f>
        <v>0</v>
      </c>
      <c r="H67" s="1845">
        <f>IF($F67=0,0,IF(H66=0,0,IF(SUM($G67:G67)=0,$F67,0)))</f>
        <v>0</v>
      </c>
      <c r="I67" s="1845">
        <f>IF($F67=0,0,IF(I66=0,0,IF(SUM($G67:H67)=0,$F67,0)))</f>
        <v>0</v>
      </c>
      <c r="J67" s="1845">
        <f>IF($F67=0,0,IF(J66=0,0,IF(SUM($G67:I67)=0,$F67,0)))</f>
        <v>0</v>
      </c>
      <c r="K67" s="1845">
        <f>IF($F67=0,0,IF(K66=0,0,IF(SUM($G67:J67)=0,$F67,0)))</f>
        <v>0</v>
      </c>
      <c r="L67" s="1845">
        <f>IF($F67=0,0,IF(L66=0,0,IF(SUM($G67:I67)=0,$F67,0)))</f>
        <v>0</v>
      </c>
      <c r="M67" s="1845">
        <f>IF($F67=0,0,IF(M66=0,0,IF(SUM($G67:L67)=0,$F67,0)))</f>
        <v>0</v>
      </c>
      <c r="N67" s="1846">
        <f>IF($F67=0,0,IF(N66=0,0,IF(SUM($G67:M67)=0,$F67,0)))</f>
        <v>0</v>
      </c>
      <c r="IA67" s="1722"/>
      <c r="IB67" s="1722"/>
      <c r="IC67" s="1722"/>
      <c r="ID67" s="1722"/>
      <c r="IE67" s="1722"/>
      <c r="IF67" s="1722"/>
      <c r="IG67" s="1722"/>
      <c r="IH67" s="1722"/>
      <c r="II67" s="1722"/>
      <c r="IJ67" s="1722"/>
      <c r="IK67" s="1722"/>
      <c r="IL67" s="1722"/>
      <c r="IM67" s="1722"/>
      <c r="IN67" s="1722"/>
      <c r="IO67" s="1722"/>
      <c r="IP67" s="1722"/>
      <c r="IQ67" s="1722"/>
      <c r="IR67" s="1722"/>
      <c r="IS67" s="1722"/>
      <c r="IT67" s="1722"/>
      <c r="IU67" s="1722"/>
      <c r="IV67" s="1722"/>
    </row>
    <row r="68" spans="1:256" s="1721" customFormat="1" ht="16">
      <c r="A68" s="1884"/>
      <c r="B68" s="2944" t="s">
        <v>2754</v>
      </c>
      <c r="C68" s="2945"/>
      <c r="D68" s="1890"/>
      <c r="E68" s="1891"/>
      <c r="F68" s="1892">
        <f>SUM(G68:P68)</f>
        <v>0</v>
      </c>
      <c r="G68" s="1847">
        <f t="shared" ref="G68:N68" si="35">IF(G62=0,IF(G55=0,IF(G8=G87,0,G63+G66+G67),G63+G66+G67),G62)</f>
        <v>0</v>
      </c>
      <c r="H68" s="1847">
        <f t="shared" si="35"/>
        <v>0</v>
      </c>
      <c r="I68" s="1847">
        <f t="shared" si="35"/>
        <v>0</v>
      </c>
      <c r="J68" s="1847">
        <f t="shared" si="35"/>
        <v>0</v>
      </c>
      <c r="K68" s="1847">
        <f t="shared" si="35"/>
        <v>0</v>
      </c>
      <c r="L68" s="1847">
        <f t="shared" si="35"/>
        <v>0</v>
      </c>
      <c r="M68" s="1847">
        <f t="shared" si="35"/>
        <v>0</v>
      </c>
      <c r="N68" s="1848">
        <f t="shared" si="35"/>
        <v>0</v>
      </c>
      <c r="IA68" s="1722"/>
      <c r="IB68" s="1722"/>
      <c r="IC68" s="1722"/>
      <c r="ID68" s="1722"/>
      <c r="IE68" s="1722"/>
      <c r="IF68" s="1722"/>
      <c r="IG68" s="1722"/>
      <c r="IH68" s="1722"/>
      <c r="II68" s="1722"/>
      <c r="IJ68" s="1722"/>
      <c r="IK68" s="1722"/>
      <c r="IL68" s="1722"/>
      <c r="IM68" s="1722"/>
      <c r="IN68" s="1722"/>
      <c r="IO68" s="1722"/>
      <c r="IP68" s="1722"/>
      <c r="IQ68" s="1722"/>
      <c r="IR68" s="1722"/>
      <c r="IS68" s="1722"/>
      <c r="IT68" s="1722"/>
      <c r="IU68" s="1722"/>
      <c r="IV68" s="1722"/>
    </row>
    <row r="69" spans="1:256" s="1721" customFormat="1" ht="16">
      <c r="A69" s="1916" t="s">
        <v>2583</v>
      </c>
      <c r="B69" s="1917"/>
      <c r="C69" s="1918"/>
      <c r="D69" s="1919"/>
      <c r="E69" s="1920" t="s">
        <v>2755</v>
      </c>
      <c r="F69" s="1921">
        <f>SUM(G69:N69)</f>
        <v>0</v>
      </c>
      <c r="G69" s="1922">
        <f>G437-G224</f>
        <v>0</v>
      </c>
      <c r="H69" s="1922">
        <f t="shared" ref="H69:N69" si="36">H437-H224</f>
        <v>0</v>
      </c>
      <c r="I69" s="1922">
        <f t="shared" si="36"/>
        <v>0</v>
      </c>
      <c r="J69" s="1922">
        <f>J437-J224</f>
        <v>0</v>
      </c>
      <c r="K69" s="1922">
        <f>K437-K224</f>
        <v>0</v>
      </c>
      <c r="L69" s="1922">
        <f t="shared" si="36"/>
        <v>0</v>
      </c>
      <c r="M69" s="1922">
        <f t="shared" si="36"/>
        <v>0</v>
      </c>
      <c r="N69" s="1923">
        <f t="shared" si="36"/>
        <v>0</v>
      </c>
      <c r="IA69" s="1722"/>
      <c r="IB69" s="1722"/>
      <c r="IC69" s="1722"/>
      <c r="ID69" s="1722"/>
      <c r="IE69" s="1722"/>
      <c r="IF69" s="1722"/>
      <c r="IG69" s="1722"/>
      <c r="IH69" s="1722"/>
      <c r="II69" s="1722"/>
      <c r="IJ69" s="1722"/>
      <c r="IK69" s="1722"/>
      <c r="IL69" s="1722"/>
      <c r="IM69" s="1722"/>
      <c r="IN69" s="1722"/>
      <c r="IO69" s="1722"/>
      <c r="IP69" s="1722"/>
      <c r="IQ69" s="1722"/>
      <c r="IR69" s="1722"/>
      <c r="IS69" s="1722"/>
      <c r="IT69" s="1722"/>
      <c r="IU69" s="1722"/>
      <c r="IV69" s="1722"/>
    </row>
    <row r="70" spans="1:256" s="1721" customFormat="1" ht="16">
      <c r="A70" s="1924"/>
      <c r="B70" s="2946" t="s">
        <v>2583</v>
      </c>
      <c r="C70" s="2947"/>
      <c r="D70" s="1925"/>
      <c r="E70" s="1926"/>
      <c r="F70" s="1921">
        <f>SUM(G70:N70)</f>
        <v>0</v>
      </c>
      <c r="G70" s="1927">
        <f t="shared" ref="G70:N70" si="37">G461-G248</f>
        <v>0</v>
      </c>
      <c r="H70" s="1927">
        <f t="shared" si="37"/>
        <v>0</v>
      </c>
      <c r="I70" s="1927">
        <f t="shared" si="37"/>
        <v>0</v>
      </c>
      <c r="J70" s="1927">
        <f>J461-J248</f>
        <v>0</v>
      </c>
      <c r="K70" s="1927">
        <f>K461-K248</f>
        <v>0</v>
      </c>
      <c r="L70" s="1927">
        <f t="shared" si="37"/>
        <v>0</v>
      </c>
      <c r="M70" s="1927">
        <f t="shared" si="37"/>
        <v>0</v>
      </c>
      <c r="N70" s="1928">
        <f t="shared" si="37"/>
        <v>0</v>
      </c>
      <c r="IA70" s="1722"/>
      <c r="IB70" s="1722"/>
      <c r="IC70" s="1722"/>
      <c r="ID70" s="1722"/>
      <c r="IE70" s="1722"/>
      <c r="IF70" s="1722"/>
      <c r="IG70" s="1722"/>
      <c r="IH70" s="1722"/>
      <c r="II70" s="1722"/>
      <c r="IJ70" s="1722"/>
      <c r="IK70" s="1722"/>
      <c r="IL70" s="1722"/>
      <c r="IM70" s="1722"/>
      <c r="IN70" s="1722"/>
      <c r="IO70" s="1722"/>
      <c r="IP70" s="1722"/>
      <c r="IQ70" s="1722"/>
      <c r="IR70" s="1722"/>
      <c r="IS70" s="1722"/>
      <c r="IT70" s="1722"/>
      <c r="IU70" s="1722"/>
      <c r="IV70" s="1722"/>
    </row>
    <row r="71" spans="1:256" s="1721" customFormat="1" ht="16">
      <c r="A71" s="1924"/>
      <c r="B71" s="1929"/>
      <c r="C71" s="1930" t="s">
        <v>2578</v>
      </c>
      <c r="D71" s="1931"/>
      <c r="E71" s="1932"/>
      <c r="F71" s="1933">
        <f>SUM(G71:N71)</f>
        <v>0</v>
      </c>
      <c r="G71" s="1934">
        <f t="shared" ref="G71:N71" si="38">IF(G55=0,IF(G8=G87,G70,0),0)</f>
        <v>0</v>
      </c>
      <c r="H71" s="1934">
        <f t="shared" si="38"/>
        <v>0</v>
      </c>
      <c r="I71" s="1934">
        <f t="shared" si="38"/>
        <v>0</v>
      </c>
      <c r="J71" s="1934">
        <f t="shared" si="38"/>
        <v>0</v>
      </c>
      <c r="K71" s="1934">
        <f t="shared" si="38"/>
        <v>0</v>
      </c>
      <c r="L71" s="1934">
        <f t="shared" si="38"/>
        <v>0</v>
      </c>
      <c r="M71" s="1934">
        <f t="shared" si="38"/>
        <v>0</v>
      </c>
      <c r="N71" s="1935">
        <f t="shared" si="38"/>
        <v>0</v>
      </c>
      <c r="IA71" s="1722"/>
      <c r="IB71" s="1722"/>
      <c r="IC71" s="1722"/>
      <c r="ID71" s="1722"/>
      <c r="IE71" s="1722"/>
      <c r="IF71" s="1722"/>
      <c r="IG71" s="1722"/>
      <c r="IH71" s="1722"/>
      <c r="II71" s="1722"/>
      <c r="IJ71" s="1722"/>
      <c r="IK71" s="1722"/>
      <c r="IL71" s="1722"/>
      <c r="IM71" s="1722"/>
      <c r="IN71" s="1722"/>
      <c r="IO71" s="1722"/>
      <c r="IP71" s="1722"/>
      <c r="IQ71" s="1722"/>
      <c r="IR71" s="1722"/>
      <c r="IS71" s="1722"/>
      <c r="IT71" s="1722"/>
      <c r="IU71" s="1722"/>
      <c r="IV71" s="1722"/>
    </row>
    <row r="72" spans="1:256" s="1721" customFormat="1" ht="16">
      <c r="A72" s="1924"/>
      <c r="B72" s="1936"/>
      <c r="C72" s="1937" t="s">
        <v>2587</v>
      </c>
      <c r="D72" s="1869"/>
      <c r="E72" s="1938"/>
      <c r="F72" s="1939">
        <f>SUM(G72:N72)</f>
        <v>0</v>
      </c>
      <c r="G72" s="1940">
        <f t="shared" ref="G72:N72" si="39">+G69</f>
        <v>0</v>
      </c>
      <c r="H72" s="1940">
        <f t="shared" si="39"/>
        <v>0</v>
      </c>
      <c r="I72" s="1940">
        <f t="shared" si="39"/>
        <v>0</v>
      </c>
      <c r="J72" s="1940">
        <f>+J69</f>
        <v>0</v>
      </c>
      <c r="K72" s="1940">
        <f>+K69</f>
        <v>0</v>
      </c>
      <c r="L72" s="1940">
        <f t="shared" si="39"/>
        <v>0</v>
      </c>
      <c r="M72" s="1940">
        <f t="shared" si="39"/>
        <v>0</v>
      </c>
      <c r="N72" s="1941">
        <f t="shared" si="39"/>
        <v>0</v>
      </c>
      <c r="IA72" s="1722"/>
      <c r="IB72" s="1722"/>
      <c r="IC72" s="1722"/>
      <c r="ID72" s="1722"/>
      <c r="IE72" s="1722"/>
      <c r="IF72" s="1722"/>
      <c r="IG72" s="1722"/>
      <c r="IH72" s="1722"/>
      <c r="II72" s="1722"/>
      <c r="IJ72" s="1722"/>
      <c r="IK72" s="1722"/>
      <c r="IL72" s="1722"/>
      <c r="IM72" s="1722"/>
      <c r="IN72" s="1722"/>
      <c r="IO72" s="1722"/>
      <c r="IP72" s="1722"/>
      <c r="IQ72" s="1722"/>
      <c r="IR72" s="1722"/>
      <c r="IS72" s="1722"/>
      <c r="IT72" s="1722"/>
      <c r="IU72" s="1722"/>
      <c r="IV72" s="1722"/>
    </row>
    <row r="73" spans="1:256" s="1721" customFormat="1" ht="16">
      <c r="A73" s="1924"/>
      <c r="B73" s="1936"/>
      <c r="C73" s="1937" t="s">
        <v>2588</v>
      </c>
      <c r="D73" s="1869"/>
      <c r="E73" s="1938"/>
      <c r="F73" s="1939">
        <f>SUM(G73:N73)</f>
        <v>0</v>
      </c>
      <c r="G73" s="1940">
        <f t="shared" ref="G73:N73" si="40">IF($F$71=0,0,INT(G72/$F72*$F71))</f>
        <v>0</v>
      </c>
      <c r="H73" s="1940">
        <f t="shared" si="40"/>
        <v>0</v>
      </c>
      <c r="I73" s="1940">
        <f t="shared" si="40"/>
        <v>0</v>
      </c>
      <c r="J73" s="1940">
        <f>IF($F$71=0,0,INT(J72/$F72*$F71))</f>
        <v>0</v>
      </c>
      <c r="K73" s="1940">
        <f>IF($F$71=0,0,INT(K72/$F72*$F71))</f>
        <v>0</v>
      </c>
      <c r="L73" s="1940">
        <f t="shared" si="40"/>
        <v>0</v>
      </c>
      <c r="M73" s="1940">
        <f t="shared" si="40"/>
        <v>0</v>
      </c>
      <c r="N73" s="1941">
        <f t="shared" si="40"/>
        <v>0</v>
      </c>
      <c r="IA73" s="1722"/>
      <c r="IB73" s="1722"/>
      <c r="IC73" s="1722"/>
      <c r="ID73" s="1722"/>
      <c r="IE73" s="1722"/>
      <c r="IF73" s="1722"/>
      <c r="IG73" s="1722"/>
      <c r="IH73" s="1722"/>
      <c r="II73" s="1722"/>
      <c r="IJ73" s="1722"/>
      <c r="IK73" s="1722"/>
      <c r="IL73" s="1722"/>
      <c r="IM73" s="1722"/>
      <c r="IN73" s="1722"/>
      <c r="IO73" s="1722"/>
      <c r="IP73" s="1722"/>
      <c r="IQ73" s="1722"/>
      <c r="IR73" s="1722"/>
      <c r="IS73" s="1722"/>
      <c r="IT73" s="1722"/>
      <c r="IU73" s="1722"/>
      <c r="IV73" s="1722"/>
    </row>
    <row r="74" spans="1:256" s="1721" customFormat="1" ht="16">
      <c r="A74" s="1924"/>
      <c r="B74" s="1936"/>
      <c r="C74" s="1937" t="s">
        <v>2589</v>
      </c>
      <c r="D74" s="1869"/>
      <c r="E74" s="1938"/>
      <c r="F74" s="1939">
        <f>F71-F73</f>
        <v>0</v>
      </c>
      <c r="G74" s="1940">
        <f>IF($F74=0,0,IF(G73=0,0,$F74))</f>
        <v>0</v>
      </c>
      <c r="H74" s="1940">
        <f>IF($F74=0,0,IF(H73=0,0,IF(SUM($G74:G74)=0,$F74,0)))</f>
        <v>0</v>
      </c>
      <c r="I74" s="1940">
        <f>IF($F74=0,0,IF(I73=0,0,IF(SUM($G74:H74)=0,$F74,0)))</f>
        <v>0</v>
      </c>
      <c r="J74" s="1940">
        <f>IF($F74=0,0,IF(J73=0,0,IF(SUM($G74:I74)=0,$F74,0)))</f>
        <v>0</v>
      </c>
      <c r="K74" s="1940">
        <f>IF($F74=0,0,IF(K73=0,0,IF(SUM($G74:J74)=0,$F74,0)))</f>
        <v>0</v>
      </c>
      <c r="L74" s="1940">
        <f>IF($F74=0,0,IF(L73=0,0,IF(SUM($G74:I74)=0,$F74,0)))</f>
        <v>0</v>
      </c>
      <c r="M74" s="1940">
        <f>IF($F74=0,0,IF(M73=0,0,IF(SUM($G74:L74)=0,$F74,0)))</f>
        <v>0</v>
      </c>
      <c r="N74" s="1941">
        <f>IF($F74=0,0,IF(N73=0,0,IF(SUM($G74:M74)=0,$F74,0)))</f>
        <v>0</v>
      </c>
      <c r="IA74" s="1722"/>
      <c r="IB74" s="1722"/>
      <c r="IC74" s="1722"/>
      <c r="ID74" s="1722"/>
      <c r="IE74" s="1722"/>
      <c r="IF74" s="1722"/>
      <c r="IG74" s="1722"/>
      <c r="IH74" s="1722"/>
      <c r="II74" s="1722"/>
      <c r="IJ74" s="1722"/>
      <c r="IK74" s="1722"/>
      <c r="IL74" s="1722"/>
      <c r="IM74" s="1722"/>
      <c r="IN74" s="1722"/>
      <c r="IO74" s="1722"/>
      <c r="IP74" s="1722"/>
      <c r="IQ74" s="1722"/>
      <c r="IR74" s="1722"/>
      <c r="IS74" s="1722"/>
      <c r="IT74" s="1722"/>
      <c r="IU74" s="1722"/>
      <c r="IV74" s="1722"/>
    </row>
    <row r="75" spans="1:256" s="1721" customFormat="1" ht="16">
      <c r="A75" s="1924"/>
      <c r="B75" s="2948" t="s">
        <v>2590</v>
      </c>
      <c r="C75" s="2949"/>
      <c r="D75" s="1942"/>
      <c r="E75" s="1943"/>
      <c r="F75" s="1944">
        <f t="shared" ref="F75:F82" si="41">SUM(G75:N75)</f>
        <v>0</v>
      </c>
      <c r="G75" s="1945">
        <f t="shared" ref="G75:N75" si="42">IF(G55=0,IF(G8=G87,0,G70+G73+G74),G70+G73+G74)</f>
        <v>0</v>
      </c>
      <c r="H75" s="1945">
        <f t="shared" si="42"/>
        <v>0</v>
      </c>
      <c r="I75" s="1945">
        <f t="shared" si="42"/>
        <v>0</v>
      </c>
      <c r="J75" s="1945">
        <f t="shared" si="42"/>
        <v>0</v>
      </c>
      <c r="K75" s="1945">
        <f t="shared" si="42"/>
        <v>0</v>
      </c>
      <c r="L75" s="1945">
        <f t="shared" si="42"/>
        <v>0</v>
      </c>
      <c r="M75" s="1945">
        <f t="shared" si="42"/>
        <v>0</v>
      </c>
      <c r="N75" s="1946">
        <f t="shared" si="42"/>
        <v>0</v>
      </c>
      <c r="IA75" s="1722"/>
      <c r="IB75" s="1722"/>
      <c r="IC75" s="1722"/>
      <c r="ID75" s="1722"/>
      <c r="IE75" s="1722"/>
      <c r="IF75" s="1722"/>
      <c r="IG75" s="1722"/>
      <c r="IH75" s="1722"/>
      <c r="II75" s="1722"/>
      <c r="IJ75" s="1722"/>
      <c r="IK75" s="1722"/>
      <c r="IL75" s="1722"/>
      <c r="IM75" s="1722"/>
      <c r="IN75" s="1722"/>
      <c r="IO75" s="1722"/>
      <c r="IP75" s="1722"/>
      <c r="IQ75" s="1722"/>
      <c r="IR75" s="1722"/>
      <c r="IS75" s="1722"/>
      <c r="IT75" s="1722"/>
      <c r="IU75" s="1722"/>
      <c r="IV75" s="1722"/>
    </row>
    <row r="76" spans="1:256" s="1721" customFormat="1" ht="17" thickBot="1">
      <c r="A76" s="1947" t="s">
        <v>394</v>
      </c>
      <c r="B76" s="1948"/>
      <c r="C76" s="1949"/>
      <c r="D76" s="1950"/>
      <c r="E76" s="1951"/>
      <c r="F76" s="1952">
        <f t="shared" si="41"/>
        <v>0</v>
      </c>
      <c r="G76" s="1953">
        <f t="shared" ref="G76:N76" si="43">G68+G75+G56</f>
        <v>0</v>
      </c>
      <c r="H76" s="1953">
        <f t="shared" si="43"/>
        <v>0</v>
      </c>
      <c r="I76" s="1953">
        <f t="shared" si="43"/>
        <v>0</v>
      </c>
      <c r="J76" s="1953">
        <f>J68+J75+J56</f>
        <v>0</v>
      </c>
      <c r="K76" s="1953">
        <f>K68+K75+K56</f>
        <v>0</v>
      </c>
      <c r="L76" s="1953">
        <f t="shared" si="43"/>
        <v>0</v>
      </c>
      <c r="M76" s="1953">
        <f t="shared" si="43"/>
        <v>0</v>
      </c>
      <c r="N76" s="1954">
        <f t="shared" si="43"/>
        <v>0</v>
      </c>
      <c r="IA76" s="1722"/>
      <c r="IB76" s="1722"/>
      <c r="IC76" s="1722"/>
      <c r="ID76" s="1722"/>
      <c r="IE76" s="1722"/>
      <c r="IF76" s="1722"/>
      <c r="IG76" s="1722"/>
      <c r="IH76" s="1722"/>
      <c r="II76" s="1722"/>
      <c r="IJ76" s="1722"/>
      <c r="IK76" s="1722"/>
      <c r="IL76" s="1722"/>
      <c r="IM76" s="1722"/>
      <c r="IN76" s="1722"/>
      <c r="IO76" s="1722"/>
      <c r="IP76" s="1722"/>
      <c r="IQ76" s="1722"/>
      <c r="IR76" s="1722"/>
      <c r="IS76" s="1722"/>
      <c r="IT76" s="1722"/>
      <c r="IU76" s="1722"/>
      <c r="IV76" s="1722"/>
    </row>
    <row r="77" spans="1:256" s="1721" customFormat="1" ht="17" thickTop="1">
      <c r="A77" s="1955" t="s">
        <v>234</v>
      </c>
      <c r="B77" s="1956"/>
      <c r="C77" s="1956"/>
      <c r="D77" s="1956"/>
      <c r="E77" s="1957" t="s">
        <v>2592</v>
      </c>
      <c r="F77" s="1958">
        <f t="shared" si="41"/>
        <v>0</v>
      </c>
      <c r="G77" s="1959">
        <f t="shared" ref="G77:N77" si="44">IF(G76&lt;0,ROUNDUP(G76,-3),ROUNDDOWN(G76,-3))</f>
        <v>0</v>
      </c>
      <c r="H77" s="1959">
        <f t="shared" si="44"/>
        <v>0</v>
      </c>
      <c r="I77" s="1959">
        <f t="shared" si="44"/>
        <v>0</v>
      </c>
      <c r="J77" s="1959">
        <f>IF(J76&lt;0,ROUNDUP(J76,-3),ROUNDDOWN(J76,-3))</f>
        <v>0</v>
      </c>
      <c r="K77" s="1959">
        <f>IF(K76&lt;0,ROUNDUP(K76,-3),ROUNDDOWN(K76,-3))</f>
        <v>0</v>
      </c>
      <c r="L77" s="1959">
        <f t="shared" si="44"/>
        <v>0</v>
      </c>
      <c r="M77" s="1959">
        <f t="shared" si="44"/>
        <v>0</v>
      </c>
      <c r="N77" s="1960">
        <f t="shared" si="44"/>
        <v>0</v>
      </c>
      <c r="IA77" s="1722"/>
      <c r="IB77" s="1722"/>
      <c r="IC77" s="1722"/>
      <c r="ID77" s="1722"/>
      <c r="IE77" s="1722"/>
      <c r="IF77" s="1722"/>
      <c r="IG77" s="1722"/>
      <c r="IH77" s="1722"/>
      <c r="II77" s="1722"/>
      <c r="IJ77" s="1722"/>
      <c r="IK77" s="1722"/>
      <c r="IL77" s="1722"/>
      <c r="IM77" s="1722"/>
      <c r="IN77" s="1722"/>
      <c r="IO77" s="1722"/>
      <c r="IP77" s="1722"/>
      <c r="IQ77" s="1722"/>
      <c r="IR77" s="1722"/>
      <c r="IS77" s="1722"/>
      <c r="IT77" s="1722"/>
      <c r="IU77" s="1722"/>
      <c r="IV77" s="1722"/>
    </row>
    <row r="78" spans="1:256" s="1721" customFormat="1" ht="16">
      <c r="A78" s="1961"/>
      <c r="B78" s="2936" t="s">
        <v>2593</v>
      </c>
      <c r="C78" s="1962" t="s">
        <v>2756</v>
      </c>
      <c r="D78" s="1962"/>
      <c r="E78" s="1962"/>
      <c r="F78" s="1933">
        <f t="shared" si="41"/>
        <v>0</v>
      </c>
      <c r="G78" s="1934">
        <f t="shared" ref="G78:N78" si="45">+G317-G104</f>
        <v>0</v>
      </c>
      <c r="H78" s="1934">
        <f t="shared" si="45"/>
        <v>0</v>
      </c>
      <c r="I78" s="1934">
        <f t="shared" si="45"/>
        <v>0</v>
      </c>
      <c r="J78" s="1934">
        <f>+J317-J104</f>
        <v>0</v>
      </c>
      <c r="K78" s="1934">
        <f>+K317-K104</f>
        <v>0</v>
      </c>
      <c r="L78" s="1934">
        <f t="shared" si="45"/>
        <v>0</v>
      </c>
      <c r="M78" s="1934">
        <f t="shared" si="45"/>
        <v>0</v>
      </c>
      <c r="N78" s="1935">
        <f t="shared" si="45"/>
        <v>0</v>
      </c>
      <c r="IA78" s="1722"/>
      <c r="IB78" s="1722"/>
      <c r="IC78" s="1722"/>
      <c r="ID78" s="1722"/>
      <c r="IE78" s="1722"/>
      <c r="IF78" s="1722"/>
      <c r="IG78" s="1722"/>
      <c r="IH78" s="1722"/>
      <c r="II78" s="1722"/>
      <c r="IJ78" s="1722"/>
      <c r="IK78" s="1722"/>
      <c r="IL78" s="1722"/>
      <c r="IM78" s="1722"/>
      <c r="IN78" s="1722"/>
      <c r="IO78" s="1722"/>
      <c r="IP78" s="1722"/>
      <c r="IQ78" s="1722"/>
      <c r="IR78" s="1722"/>
      <c r="IS78" s="1722"/>
      <c r="IT78" s="1722"/>
      <c r="IU78" s="1722"/>
      <c r="IV78" s="1722"/>
    </row>
    <row r="79" spans="1:256" s="1721" customFormat="1" ht="17" thickBot="1">
      <c r="A79" s="1963"/>
      <c r="B79" s="2937"/>
      <c r="C79" s="1964" t="s">
        <v>2595</v>
      </c>
      <c r="D79" s="1964"/>
      <c r="E79" s="1964"/>
      <c r="F79" s="1944">
        <f t="shared" si="41"/>
        <v>0</v>
      </c>
      <c r="G79" s="1965">
        <f t="shared" ref="G79:N79" si="46">+G77-G78</f>
        <v>0</v>
      </c>
      <c r="H79" s="1965">
        <f t="shared" si="46"/>
        <v>0</v>
      </c>
      <c r="I79" s="1965">
        <f t="shared" si="46"/>
        <v>0</v>
      </c>
      <c r="J79" s="1965">
        <f>+J77-J78</f>
        <v>0</v>
      </c>
      <c r="K79" s="1965">
        <f>+K77-K78</f>
        <v>0</v>
      </c>
      <c r="L79" s="1965">
        <f t="shared" si="46"/>
        <v>0</v>
      </c>
      <c r="M79" s="1965">
        <f t="shared" si="46"/>
        <v>0</v>
      </c>
      <c r="N79" s="1966">
        <f t="shared" si="46"/>
        <v>0</v>
      </c>
      <c r="IA79" s="1722"/>
      <c r="IB79" s="1722"/>
      <c r="IC79" s="1722"/>
      <c r="ID79" s="1722"/>
      <c r="IE79" s="1722"/>
      <c r="IF79" s="1722"/>
      <c r="IG79" s="1722"/>
      <c r="IH79" s="1722"/>
      <c r="II79" s="1722"/>
      <c r="IJ79" s="1722"/>
      <c r="IK79" s="1722"/>
      <c r="IL79" s="1722"/>
      <c r="IM79" s="1722"/>
      <c r="IN79" s="1722"/>
      <c r="IO79" s="1722"/>
      <c r="IP79" s="1722"/>
      <c r="IQ79" s="1722"/>
      <c r="IR79" s="1722"/>
      <c r="IS79" s="1722"/>
      <c r="IT79" s="1722"/>
      <c r="IU79" s="1722"/>
      <c r="IV79" s="1722"/>
    </row>
    <row r="80" spans="1:256" s="1721" customFormat="1" ht="17" thickTop="1">
      <c r="A80" s="1955" t="s">
        <v>2596</v>
      </c>
      <c r="B80" s="1956"/>
      <c r="C80" s="1956"/>
      <c r="D80" s="1956"/>
      <c r="E80" s="1957" t="s">
        <v>2592</v>
      </c>
      <c r="F80" s="1958">
        <f t="shared" si="41"/>
        <v>0</v>
      </c>
      <c r="G80" s="1959">
        <f t="shared" ref="G80:N80" si="47">IF(G76&lt;0,ROUNDUP(G76*$G$2,-3),ROUNDDOWN(G76*$G$2,-3))</f>
        <v>0</v>
      </c>
      <c r="H80" s="1959">
        <f t="shared" si="47"/>
        <v>0</v>
      </c>
      <c r="I80" s="1959">
        <f t="shared" si="47"/>
        <v>0</v>
      </c>
      <c r="J80" s="1959">
        <f>IF(J76&lt;0,ROUNDUP(J76*$G$2,-3),ROUNDDOWN(J76*$G$2,-3))</f>
        <v>0</v>
      </c>
      <c r="K80" s="1959">
        <f>IF(K76&lt;0,ROUNDUP(K76*$G$2,-3),ROUNDDOWN(K76*$G$2,-3))</f>
        <v>0</v>
      </c>
      <c r="L80" s="1959">
        <f t="shared" si="47"/>
        <v>0</v>
      </c>
      <c r="M80" s="1959">
        <f t="shared" si="47"/>
        <v>0</v>
      </c>
      <c r="N80" s="1967">
        <f t="shared" si="47"/>
        <v>0</v>
      </c>
      <c r="IA80" s="1722"/>
      <c r="IB80" s="1722"/>
      <c r="IC80" s="1722"/>
      <c r="ID80" s="1722"/>
      <c r="IE80" s="1722"/>
      <c r="IF80" s="1722"/>
      <c r="IG80" s="1722"/>
      <c r="IH80" s="1722"/>
      <c r="II80" s="1722"/>
      <c r="IJ80" s="1722"/>
      <c r="IK80" s="1722"/>
      <c r="IL80" s="1722"/>
      <c r="IM80" s="1722"/>
      <c r="IN80" s="1722"/>
      <c r="IO80" s="1722"/>
      <c r="IP80" s="1722"/>
      <c r="IQ80" s="1722"/>
      <c r="IR80" s="1722"/>
      <c r="IS80" s="1722"/>
      <c r="IT80" s="1722"/>
      <c r="IU80" s="1722"/>
      <c r="IV80" s="1722"/>
    </row>
    <row r="81" spans="1:256" s="1721" customFormat="1" ht="16">
      <c r="A81" s="1961"/>
      <c r="B81" s="2936" t="s">
        <v>2593</v>
      </c>
      <c r="C81" s="1962" t="s">
        <v>2756</v>
      </c>
      <c r="D81" s="1962"/>
      <c r="E81" s="1962"/>
      <c r="F81" s="1933">
        <f t="shared" si="41"/>
        <v>0</v>
      </c>
      <c r="G81" s="1968">
        <f t="shared" ref="G81:N81" si="48">IF(G78&lt;0,ROUNDDOWN(G78*$G$2,0),ROUNDUP(G78*$G$2,0))</f>
        <v>0</v>
      </c>
      <c r="H81" s="1968">
        <f t="shared" si="48"/>
        <v>0</v>
      </c>
      <c r="I81" s="1968">
        <f t="shared" si="48"/>
        <v>0</v>
      </c>
      <c r="J81" s="1968">
        <f>IF(J78&lt;0,ROUNDDOWN(J78*$G$2,0),ROUNDUP(J78*$G$2,0))</f>
        <v>0</v>
      </c>
      <c r="K81" s="1968">
        <f>IF(K78&lt;0,ROUNDDOWN(K78*$G$2,0),ROUNDUP(K78*$G$2,0))</f>
        <v>0</v>
      </c>
      <c r="L81" s="1968">
        <f t="shared" si="48"/>
        <v>0</v>
      </c>
      <c r="M81" s="1968">
        <f t="shared" si="48"/>
        <v>0</v>
      </c>
      <c r="N81" s="1969">
        <f t="shared" si="48"/>
        <v>0</v>
      </c>
      <c r="IA81" s="1722"/>
      <c r="IB81" s="1722"/>
      <c r="IC81" s="1722"/>
      <c r="ID81" s="1722"/>
      <c r="IE81" s="1722"/>
      <c r="IF81" s="1722"/>
      <c r="IG81" s="1722"/>
      <c r="IH81" s="1722"/>
      <c r="II81" s="1722"/>
      <c r="IJ81" s="1722"/>
      <c r="IK81" s="1722"/>
      <c r="IL81" s="1722"/>
      <c r="IM81" s="1722"/>
      <c r="IN81" s="1722"/>
      <c r="IO81" s="1722"/>
      <c r="IP81" s="1722"/>
      <c r="IQ81" s="1722"/>
      <c r="IR81" s="1722"/>
      <c r="IS81" s="1722"/>
      <c r="IT81" s="1722"/>
      <c r="IU81" s="1722"/>
      <c r="IV81" s="1722"/>
    </row>
    <row r="82" spans="1:256" s="1721" customFormat="1" ht="16">
      <c r="A82" s="1963"/>
      <c r="B82" s="2938"/>
      <c r="C82" s="1964" t="s">
        <v>2595</v>
      </c>
      <c r="D82" s="1964"/>
      <c r="E82" s="1964"/>
      <c r="F82" s="1944">
        <f t="shared" si="41"/>
        <v>0</v>
      </c>
      <c r="G82" s="1965">
        <f t="shared" ref="G82:N82" si="49">+G80-G81</f>
        <v>0</v>
      </c>
      <c r="H82" s="1965">
        <f t="shared" si="49"/>
        <v>0</v>
      </c>
      <c r="I82" s="1965">
        <f t="shared" si="49"/>
        <v>0</v>
      </c>
      <c r="J82" s="1965">
        <f>+J80-J81</f>
        <v>0</v>
      </c>
      <c r="K82" s="1965">
        <f>+K80-K81</f>
        <v>0</v>
      </c>
      <c r="L82" s="1965">
        <f t="shared" si="49"/>
        <v>0</v>
      </c>
      <c r="M82" s="1965">
        <f t="shared" si="49"/>
        <v>0</v>
      </c>
      <c r="N82" s="1966">
        <f t="shared" si="49"/>
        <v>0</v>
      </c>
      <c r="IA82" s="1722"/>
      <c r="IB82" s="1722"/>
      <c r="IC82" s="1722"/>
      <c r="ID82" s="1722"/>
      <c r="IE82" s="1722"/>
      <c r="IF82" s="1722"/>
      <c r="IG82" s="1722"/>
      <c r="IH82" s="1722"/>
      <c r="II82" s="1722"/>
      <c r="IJ82" s="1722"/>
      <c r="IK82" s="1722"/>
      <c r="IL82" s="1722"/>
      <c r="IM82" s="1722"/>
      <c r="IN82" s="1722"/>
      <c r="IO82" s="1722"/>
      <c r="IP82" s="1722"/>
      <c r="IQ82" s="1722"/>
      <c r="IR82" s="1722"/>
      <c r="IS82" s="1722"/>
      <c r="IT82" s="1722"/>
      <c r="IU82" s="1722"/>
      <c r="IV82" s="1722"/>
    </row>
    <row r="85" spans="1:256" ht="13.5" customHeight="1">
      <c r="A85" s="1714"/>
      <c r="B85" s="1714"/>
      <c r="C85" s="1715"/>
      <c r="D85" s="1715"/>
      <c r="E85" s="1716" t="s">
        <v>2513</v>
      </c>
      <c r="F85" s="1970" t="s">
        <v>2819</v>
      </c>
      <c r="G85" s="1971"/>
      <c r="H85" s="1971"/>
      <c r="I85" s="1724"/>
      <c r="J85" s="1724"/>
      <c r="K85" s="1724"/>
      <c r="L85" s="1724"/>
      <c r="M85" s="1972"/>
      <c r="N85" s="1720" t="s">
        <v>2853</v>
      </c>
    </row>
    <row r="86" spans="1:256" ht="13.5" customHeight="1">
      <c r="A86" s="1714"/>
      <c r="B86" s="1714"/>
      <c r="C86" s="1973" t="s">
        <v>2854</v>
      </c>
      <c r="D86" s="1974"/>
      <c r="E86" s="1715"/>
      <c r="F86" s="1715"/>
      <c r="G86" s="1975"/>
      <c r="H86" s="1724"/>
      <c r="I86" s="1724"/>
      <c r="J86" s="1724"/>
      <c r="K86" s="1724"/>
      <c r="L86" s="1724"/>
      <c r="M86" s="1714"/>
      <c r="N86" s="1976"/>
    </row>
    <row r="87" spans="1:256" ht="13.5" customHeight="1">
      <c r="A87" s="1977"/>
      <c r="B87" s="1978"/>
      <c r="C87" s="1979" t="s">
        <v>2522</v>
      </c>
      <c r="D87" s="1980"/>
      <c r="E87" s="1981"/>
      <c r="F87" s="1982" t="s">
        <v>2600</v>
      </c>
      <c r="G87" s="1983"/>
      <c r="H87" s="1983"/>
      <c r="I87" s="1983"/>
      <c r="J87" s="1983"/>
      <c r="K87" s="1983"/>
      <c r="L87" s="1984"/>
      <c r="M87" s="1984"/>
      <c r="N87" s="1985"/>
    </row>
    <row r="88" spans="1:256" ht="13.5" customHeight="1">
      <c r="A88" s="1986"/>
      <c r="B88" s="1987"/>
      <c r="C88" s="1988" t="s">
        <v>2524</v>
      </c>
      <c r="D88" s="1989"/>
      <c r="E88" s="1990"/>
      <c r="F88" s="1991" t="s">
        <v>2855</v>
      </c>
      <c r="G88" s="1992" t="s">
        <v>2856</v>
      </c>
      <c r="H88" s="1992"/>
      <c r="I88" s="1992"/>
      <c r="J88" s="1992"/>
      <c r="K88" s="1992"/>
      <c r="L88" s="1992"/>
      <c r="M88" s="1992"/>
      <c r="N88" s="1993"/>
    </row>
    <row r="89" spans="1:256" ht="13.5" customHeight="1">
      <c r="A89" s="1994"/>
      <c r="B89" s="1995"/>
      <c r="C89" s="1995" t="s">
        <v>2761</v>
      </c>
      <c r="D89" s="1995"/>
      <c r="E89" s="1996" t="s">
        <v>2603</v>
      </c>
      <c r="F89" s="1997" t="s">
        <v>2517</v>
      </c>
      <c r="G89" s="1998" t="s">
        <v>2857</v>
      </c>
      <c r="H89" s="1998"/>
      <c r="I89" s="1998"/>
      <c r="J89" s="1998"/>
      <c r="K89" s="1998"/>
      <c r="L89" s="1999"/>
      <c r="M89" s="1999"/>
      <c r="N89" s="2000"/>
    </row>
    <row r="90" spans="1:256" ht="13.5" customHeight="1">
      <c r="A90" s="1768"/>
      <c r="B90" s="1749"/>
      <c r="C90" s="2001" t="s">
        <v>2604</v>
      </c>
      <c r="D90" s="2001"/>
      <c r="E90" s="2002" t="s">
        <v>2603</v>
      </c>
      <c r="F90" s="2003" t="s">
        <v>2605</v>
      </c>
      <c r="G90" s="2004"/>
      <c r="H90" s="2004"/>
      <c r="I90" s="2004"/>
      <c r="J90" s="2004"/>
      <c r="K90" s="2004"/>
      <c r="L90" s="2004"/>
      <c r="M90" s="2004"/>
      <c r="N90" s="2005"/>
    </row>
    <row r="91" spans="1:256" ht="13.5" customHeight="1">
      <c r="A91" s="1768"/>
      <c r="B91" s="1749"/>
      <c r="C91" s="2928" t="s">
        <v>2838</v>
      </c>
      <c r="D91" s="2928"/>
      <c r="E91" s="2928"/>
      <c r="F91" s="2929"/>
      <c r="G91" s="2006" t="s">
        <v>2606</v>
      </c>
      <c r="H91" s="2006"/>
      <c r="I91" s="2006"/>
      <c r="J91" s="2006"/>
      <c r="K91" s="2006"/>
      <c r="L91" s="2006"/>
      <c r="M91" s="2006"/>
      <c r="N91" s="2007"/>
    </row>
    <row r="92" spans="1:256" ht="30" customHeight="1">
      <c r="A92" s="2930" t="s">
        <v>2526</v>
      </c>
      <c r="B92" s="2931"/>
      <c r="C92" s="2931"/>
      <c r="D92" s="2931"/>
      <c r="E92" s="2931"/>
      <c r="F92" s="2932"/>
      <c r="G92" s="2008" t="s">
        <v>2607</v>
      </c>
      <c r="H92" s="2008"/>
      <c r="I92" s="2008"/>
      <c r="J92" s="2008"/>
      <c r="K92" s="2008"/>
      <c r="L92" s="2008"/>
      <c r="M92" s="2008"/>
      <c r="N92" s="2009"/>
    </row>
    <row r="93" spans="1:256" ht="30" customHeight="1">
      <c r="A93" s="2933" t="s">
        <v>2527</v>
      </c>
      <c r="B93" s="2934"/>
      <c r="C93" s="2934"/>
      <c r="D93" s="2934"/>
      <c r="E93" s="2934"/>
      <c r="F93" s="2935"/>
      <c r="G93" s="2010" t="s">
        <v>2608</v>
      </c>
      <c r="H93" s="2010"/>
      <c r="I93" s="2010"/>
      <c r="J93" s="2010"/>
      <c r="K93" s="2010"/>
      <c r="L93" s="2010"/>
      <c r="M93" s="2010"/>
      <c r="N93" s="2011"/>
    </row>
    <row r="94" spans="1:256" ht="13.5" customHeight="1">
      <c r="A94" s="1994"/>
      <c r="B94" s="2012" t="s">
        <v>2733</v>
      </c>
      <c r="C94" s="2013"/>
      <c r="D94" s="2013"/>
      <c r="E94" s="2014"/>
      <c r="F94" s="2015">
        <f t="shared" ref="F94:F105" si="50">SUM(G94:N94)</f>
        <v>0</v>
      </c>
      <c r="G94" s="2016"/>
      <c r="H94" s="2016"/>
      <c r="I94" s="2016"/>
      <c r="J94" s="2016"/>
      <c r="K94" s="2016"/>
      <c r="L94" s="2017"/>
      <c r="M94" s="2017"/>
      <c r="N94" s="2018"/>
    </row>
    <row r="95" spans="1:256" ht="13.5" customHeight="1">
      <c r="A95" s="1768"/>
      <c r="B95" s="1791" t="s">
        <v>2530</v>
      </c>
      <c r="C95" s="2019"/>
      <c r="D95" s="2020"/>
      <c r="E95" s="2021"/>
      <c r="F95" s="2022">
        <f t="shared" si="50"/>
        <v>0</v>
      </c>
      <c r="G95" s="2023">
        <f t="shared" ref="G95:N95" si="51">SUM(G96:G97)</f>
        <v>0</v>
      </c>
      <c r="H95" s="2023">
        <f t="shared" si="51"/>
        <v>0</v>
      </c>
      <c r="I95" s="2023">
        <f t="shared" si="51"/>
        <v>0</v>
      </c>
      <c r="J95" s="2023">
        <f>SUM(J96:J97)</f>
        <v>0</v>
      </c>
      <c r="K95" s="2023">
        <f>SUM(K96:K97)</f>
        <v>0</v>
      </c>
      <c r="L95" s="2023">
        <f t="shared" si="51"/>
        <v>0</v>
      </c>
      <c r="M95" s="2023">
        <f t="shared" si="51"/>
        <v>0</v>
      </c>
      <c r="N95" s="2024">
        <f t="shared" si="51"/>
        <v>0</v>
      </c>
    </row>
    <row r="96" spans="1:256" ht="13.5" customHeight="1">
      <c r="A96" s="1768"/>
      <c r="B96" s="1791" t="s">
        <v>2531</v>
      </c>
      <c r="C96" s="2001"/>
      <c r="D96" s="2001"/>
      <c r="E96" s="2025"/>
      <c r="F96" s="2026">
        <f t="shared" si="50"/>
        <v>0</v>
      </c>
      <c r="G96" s="2027">
        <f t="shared" ref="G96:N96" si="52">G172</f>
        <v>0</v>
      </c>
      <c r="H96" s="2027">
        <f t="shared" si="52"/>
        <v>0</v>
      </c>
      <c r="I96" s="2027">
        <f t="shared" si="52"/>
        <v>0</v>
      </c>
      <c r="J96" s="2027">
        <f>J172</f>
        <v>0</v>
      </c>
      <c r="K96" s="2027">
        <f>K172</f>
        <v>0</v>
      </c>
      <c r="L96" s="2027">
        <f t="shared" si="52"/>
        <v>0</v>
      </c>
      <c r="M96" s="2027">
        <f t="shared" si="52"/>
        <v>0</v>
      </c>
      <c r="N96" s="2028">
        <f t="shared" si="52"/>
        <v>0</v>
      </c>
    </row>
    <row r="97" spans="1:14" ht="13.5" customHeight="1">
      <c r="A97" s="1768"/>
      <c r="B97" s="1791" t="s">
        <v>2537</v>
      </c>
      <c r="C97" s="2001"/>
      <c r="D97" s="2001"/>
      <c r="E97" s="2025"/>
      <c r="F97" s="2029">
        <f t="shared" si="50"/>
        <v>0</v>
      </c>
      <c r="G97" s="2030"/>
      <c r="H97" s="2030"/>
      <c r="I97" s="2030"/>
      <c r="J97" s="2030"/>
      <c r="K97" s="2030"/>
      <c r="L97" s="2031"/>
      <c r="M97" s="2031"/>
      <c r="N97" s="2032"/>
    </row>
    <row r="98" spans="1:14" ht="13.5" customHeight="1">
      <c r="A98" s="1768"/>
      <c r="B98" s="2033" t="s">
        <v>2841</v>
      </c>
      <c r="C98" s="2034"/>
      <c r="D98" s="2035"/>
      <c r="E98" s="2036"/>
      <c r="F98" s="2037">
        <f t="shared" si="50"/>
        <v>0</v>
      </c>
      <c r="G98" s="2038"/>
      <c r="H98" s="2038"/>
      <c r="I98" s="2038"/>
      <c r="J98" s="2038"/>
      <c r="K98" s="2038"/>
      <c r="L98" s="2039"/>
      <c r="M98" s="2039"/>
      <c r="N98" s="2040"/>
    </row>
    <row r="99" spans="1:14" ht="13.5" hidden="1" customHeight="1">
      <c r="A99" s="2041"/>
      <c r="B99" s="2042"/>
      <c r="C99" s="2043" t="s">
        <v>2858</v>
      </c>
      <c r="D99" s="2044"/>
      <c r="E99" s="2045"/>
      <c r="F99" s="2046">
        <f t="shared" si="50"/>
        <v>0</v>
      </c>
      <c r="G99" s="2047"/>
      <c r="H99" s="2047"/>
      <c r="I99" s="2047"/>
      <c r="J99" s="2047"/>
      <c r="K99" s="2047"/>
      <c r="L99" s="2048"/>
      <c r="M99" s="2048"/>
      <c r="N99" s="2049"/>
    </row>
    <row r="100" spans="1:14" ht="13.5" hidden="1" customHeight="1">
      <c r="A100" s="2041"/>
      <c r="B100" s="2042"/>
      <c r="C100" s="2043" t="s">
        <v>2859</v>
      </c>
      <c r="D100" s="2044"/>
      <c r="E100" s="2045"/>
      <c r="F100" s="2046">
        <f t="shared" si="50"/>
        <v>0</v>
      </c>
      <c r="G100" s="2047"/>
      <c r="H100" s="2047"/>
      <c r="I100" s="2047"/>
      <c r="J100" s="2047"/>
      <c r="K100" s="2047"/>
      <c r="L100" s="2048"/>
      <c r="M100" s="2048"/>
      <c r="N100" s="2049"/>
    </row>
    <row r="101" spans="1:14" ht="13.5" hidden="1" customHeight="1">
      <c r="A101" s="2041"/>
      <c r="B101" s="2042"/>
      <c r="C101" s="2043" t="s">
        <v>2539</v>
      </c>
      <c r="D101" s="2044"/>
      <c r="E101" s="2045"/>
      <c r="F101" s="2046">
        <f t="shared" si="50"/>
        <v>0</v>
      </c>
      <c r="G101" s="2047"/>
      <c r="H101" s="2047"/>
      <c r="I101" s="2047"/>
      <c r="J101" s="2047"/>
      <c r="K101" s="2047"/>
      <c r="L101" s="2048"/>
      <c r="M101" s="2048"/>
      <c r="N101" s="2049"/>
    </row>
    <row r="102" spans="1:14" ht="13.5" hidden="1" customHeight="1">
      <c r="A102" s="2050"/>
      <c r="B102" s="2051"/>
      <c r="C102" s="2052" t="s">
        <v>2860</v>
      </c>
      <c r="D102" s="2053"/>
      <c r="E102" s="2036"/>
      <c r="F102" s="2054">
        <f t="shared" si="50"/>
        <v>0</v>
      </c>
      <c r="G102" s="2038"/>
      <c r="H102" s="2038"/>
      <c r="I102" s="2038"/>
      <c r="J102" s="2038"/>
      <c r="K102" s="2038"/>
      <c r="L102" s="2039"/>
      <c r="M102" s="2039"/>
      <c r="N102" s="2040"/>
    </row>
    <row r="103" spans="1:14" ht="13.5" hidden="1" customHeight="1">
      <c r="A103" s="2055"/>
      <c r="B103" s="2056"/>
      <c r="C103" s="2057" t="s">
        <v>2613</v>
      </c>
      <c r="D103" s="2058"/>
      <c r="E103" s="2059"/>
      <c r="F103" s="2060">
        <f t="shared" si="50"/>
        <v>0</v>
      </c>
      <c r="G103" s="2061"/>
      <c r="H103" s="2061"/>
      <c r="I103" s="2061"/>
      <c r="J103" s="2061"/>
      <c r="K103" s="2061"/>
      <c r="L103" s="2062"/>
      <c r="M103" s="2062"/>
      <c r="N103" s="2063"/>
    </row>
    <row r="104" spans="1:14" ht="13.5" customHeight="1">
      <c r="A104" s="1994"/>
      <c r="B104" s="2064" t="s">
        <v>2823</v>
      </c>
      <c r="C104" s="2065"/>
      <c r="D104" s="2065"/>
      <c r="E104" s="2066"/>
      <c r="F104" s="2015">
        <f t="shared" si="50"/>
        <v>0</v>
      </c>
      <c r="G104" s="2067">
        <f t="shared" ref="G104:N104" si="53">SUM(G179:G194)</f>
        <v>0</v>
      </c>
      <c r="H104" s="2067">
        <f t="shared" si="53"/>
        <v>0</v>
      </c>
      <c r="I104" s="2067">
        <f t="shared" si="53"/>
        <v>0</v>
      </c>
      <c r="J104" s="2067">
        <f>SUM(J179:J194)</f>
        <v>0</v>
      </c>
      <c r="K104" s="2067">
        <f>SUM(K179:K194)</f>
        <v>0</v>
      </c>
      <c r="L104" s="2067">
        <f t="shared" si="53"/>
        <v>0</v>
      </c>
      <c r="M104" s="2067">
        <f t="shared" si="53"/>
        <v>0</v>
      </c>
      <c r="N104" s="2068">
        <f t="shared" si="53"/>
        <v>0</v>
      </c>
    </row>
    <row r="105" spans="1:14" ht="13.5" customHeight="1">
      <c r="A105" s="1768"/>
      <c r="B105" s="1749"/>
      <c r="C105" s="2069" t="s">
        <v>2861</v>
      </c>
      <c r="D105" s="2070"/>
      <c r="E105" s="2071"/>
      <c r="F105" s="2022">
        <f t="shared" si="50"/>
        <v>0</v>
      </c>
      <c r="G105" s="2072">
        <f t="shared" ref="G105:N105" si="54">G104-G108</f>
        <v>0</v>
      </c>
      <c r="H105" s="2072">
        <f t="shared" si="54"/>
        <v>0</v>
      </c>
      <c r="I105" s="2072">
        <f t="shared" si="54"/>
        <v>0</v>
      </c>
      <c r="J105" s="2072">
        <f>J104-J108</f>
        <v>0</v>
      </c>
      <c r="K105" s="2072">
        <f>K104-K108</f>
        <v>0</v>
      </c>
      <c r="L105" s="2072">
        <f t="shared" si="54"/>
        <v>0</v>
      </c>
      <c r="M105" s="2072">
        <f t="shared" si="54"/>
        <v>0</v>
      </c>
      <c r="N105" s="2073">
        <f t="shared" si="54"/>
        <v>0</v>
      </c>
    </row>
    <row r="106" spans="1:14" ht="13.5" customHeight="1">
      <c r="A106" s="1768"/>
      <c r="B106" s="1749"/>
      <c r="C106" s="2074"/>
      <c r="D106" s="2074"/>
      <c r="E106" s="2075"/>
      <c r="F106" s="2076" t="s">
        <v>2765</v>
      </c>
      <c r="G106" s="2077">
        <f t="shared" ref="G106:N106" si="55">SUM(G183:G194)</f>
        <v>0</v>
      </c>
      <c r="H106" s="2077">
        <f t="shared" si="55"/>
        <v>0</v>
      </c>
      <c r="I106" s="2077">
        <f t="shared" si="55"/>
        <v>0</v>
      </c>
      <c r="J106" s="2077">
        <f>SUM(J183:J194)</f>
        <v>0</v>
      </c>
      <c r="K106" s="2077">
        <f>SUM(K183:K194)</f>
        <v>0</v>
      </c>
      <c r="L106" s="2077">
        <f t="shared" si="55"/>
        <v>0</v>
      </c>
      <c r="M106" s="2077">
        <f t="shared" si="55"/>
        <v>0</v>
      </c>
      <c r="N106" s="2078">
        <f t="shared" si="55"/>
        <v>0</v>
      </c>
    </row>
    <row r="107" spans="1:14" ht="13.5" customHeight="1">
      <c r="A107" s="1768"/>
      <c r="B107" s="1749"/>
      <c r="C107" s="2074"/>
      <c r="D107" s="2074"/>
      <c r="E107" s="2075"/>
      <c r="F107" s="2076" t="s">
        <v>2611</v>
      </c>
      <c r="G107" s="2077">
        <f t="shared" ref="G107:N107" si="56">SUM(G183:G190,G142)</f>
        <v>0</v>
      </c>
      <c r="H107" s="2077">
        <f t="shared" si="56"/>
        <v>0</v>
      </c>
      <c r="I107" s="2077">
        <f t="shared" si="56"/>
        <v>0</v>
      </c>
      <c r="J107" s="2077">
        <f>SUM(J183:J190,J142)</f>
        <v>0</v>
      </c>
      <c r="K107" s="2077">
        <f>SUM(K183:K190,K142)</f>
        <v>0</v>
      </c>
      <c r="L107" s="2077">
        <f t="shared" si="56"/>
        <v>0</v>
      </c>
      <c r="M107" s="2077">
        <f t="shared" si="56"/>
        <v>0</v>
      </c>
      <c r="N107" s="2078">
        <f t="shared" si="56"/>
        <v>0</v>
      </c>
    </row>
    <row r="108" spans="1:14" ht="13.5" customHeight="1">
      <c r="A108" s="2079"/>
      <c r="B108" s="2080"/>
      <c r="C108" s="2081" t="s">
        <v>2766</v>
      </c>
      <c r="D108" s="2081"/>
      <c r="E108" s="2082"/>
      <c r="F108" s="2083">
        <f t="shared" ref="F108:F117" si="57">SUM(G108:N108)</f>
        <v>0</v>
      </c>
      <c r="G108" s="2084">
        <f t="shared" ref="G108:N108" si="58">G98+G137+G138+G139+G142+G141+G182+G183</f>
        <v>0</v>
      </c>
      <c r="H108" s="2084">
        <f t="shared" si="58"/>
        <v>0</v>
      </c>
      <c r="I108" s="2084">
        <f t="shared" si="58"/>
        <v>0</v>
      </c>
      <c r="J108" s="2084">
        <f>J98+J137+J138+J139+J142+J141+J182+J183</f>
        <v>0</v>
      </c>
      <c r="K108" s="2084">
        <f>K98+K137+K138+K139+K142+K141+K182+K183</f>
        <v>0</v>
      </c>
      <c r="L108" s="2084">
        <f t="shared" si="58"/>
        <v>0</v>
      </c>
      <c r="M108" s="2084">
        <f t="shared" si="58"/>
        <v>0</v>
      </c>
      <c r="N108" s="2085">
        <f t="shared" si="58"/>
        <v>0</v>
      </c>
    </row>
    <row r="109" spans="1:14" ht="13.5" customHeight="1">
      <c r="A109" s="1768"/>
      <c r="B109" s="2086" t="s">
        <v>2767</v>
      </c>
      <c r="C109" s="2086"/>
      <c r="D109" s="2086"/>
      <c r="E109" s="2087"/>
      <c r="F109" s="2088">
        <f t="shared" si="57"/>
        <v>0</v>
      </c>
      <c r="G109" s="2089">
        <f t="shared" ref="G109:N109" si="59">G110+G113</f>
        <v>0</v>
      </c>
      <c r="H109" s="2089">
        <f t="shared" si="59"/>
        <v>0</v>
      </c>
      <c r="I109" s="2089">
        <f t="shared" si="59"/>
        <v>0</v>
      </c>
      <c r="J109" s="2089">
        <f>J110+J113</f>
        <v>0</v>
      </c>
      <c r="K109" s="2089">
        <f>K110+K113</f>
        <v>0</v>
      </c>
      <c r="L109" s="2089">
        <f t="shared" si="59"/>
        <v>0</v>
      </c>
      <c r="M109" s="2089">
        <f t="shared" si="59"/>
        <v>0</v>
      </c>
      <c r="N109" s="2090">
        <f t="shared" si="59"/>
        <v>0</v>
      </c>
    </row>
    <row r="110" spans="1:14" ht="13.5" customHeight="1">
      <c r="A110" s="1768"/>
      <c r="B110" s="1749"/>
      <c r="C110" s="2091" t="s">
        <v>2615</v>
      </c>
      <c r="D110" s="2091"/>
      <c r="E110" s="2092"/>
      <c r="F110" s="2022">
        <f t="shared" si="57"/>
        <v>0</v>
      </c>
      <c r="G110" s="2072">
        <f t="shared" ref="G110:N110" si="60">SUM(G111:G112)</f>
        <v>0</v>
      </c>
      <c r="H110" s="2072">
        <f t="shared" si="60"/>
        <v>0</v>
      </c>
      <c r="I110" s="2072">
        <f t="shared" si="60"/>
        <v>0</v>
      </c>
      <c r="J110" s="2072">
        <f>SUM(J111:J112)</f>
        <v>0</v>
      </c>
      <c r="K110" s="2072">
        <f>SUM(K111:K112)</f>
        <v>0</v>
      </c>
      <c r="L110" s="2072">
        <f t="shared" si="60"/>
        <v>0</v>
      </c>
      <c r="M110" s="2072">
        <f t="shared" si="60"/>
        <v>0</v>
      </c>
      <c r="N110" s="2073">
        <f t="shared" si="60"/>
        <v>0</v>
      </c>
    </row>
    <row r="111" spans="1:14" ht="13.5" customHeight="1">
      <c r="A111" s="1768"/>
      <c r="B111" s="1749"/>
      <c r="C111" s="2093" t="s">
        <v>2617</v>
      </c>
      <c r="D111" s="2093"/>
      <c r="E111" s="2075"/>
      <c r="F111" s="2094">
        <f t="shared" si="57"/>
        <v>0</v>
      </c>
      <c r="G111" s="2077">
        <f t="shared" ref="G111:N111" si="61">+G197+G199+G201+G202</f>
        <v>0</v>
      </c>
      <c r="H111" s="2077">
        <f t="shared" si="61"/>
        <v>0</v>
      </c>
      <c r="I111" s="2077">
        <f t="shared" si="61"/>
        <v>0</v>
      </c>
      <c r="J111" s="2077">
        <f>+J197+J199+J201+J202</f>
        <v>0</v>
      </c>
      <c r="K111" s="2077">
        <f>+K197+K199+K201+K202</f>
        <v>0</v>
      </c>
      <c r="L111" s="2077">
        <f t="shared" si="61"/>
        <v>0</v>
      </c>
      <c r="M111" s="2077">
        <f t="shared" si="61"/>
        <v>0</v>
      </c>
      <c r="N111" s="2078">
        <f t="shared" si="61"/>
        <v>0</v>
      </c>
    </row>
    <row r="112" spans="1:14" ht="13.5" customHeight="1">
      <c r="A112" s="1768"/>
      <c r="B112" s="1749"/>
      <c r="C112" s="2093" t="s">
        <v>2622</v>
      </c>
      <c r="D112" s="2093"/>
      <c r="E112" s="2075"/>
      <c r="F112" s="2094">
        <f t="shared" si="57"/>
        <v>0</v>
      </c>
      <c r="G112" s="2077">
        <f t="shared" ref="G112:N112" si="62">SUM(G203:G216)</f>
        <v>0</v>
      </c>
      <c r="H112" s="2077">
        <f t="shared" si="62"/>
        <v>0</v>
      </c>
      <c r="I112" s="2077">
        <f t="shared" si="62"/>
        <v>0</v>
      </c>
      <c r="J112" s="2077">
        <f>SUM(J203:J216)</f>
        <v>0</v>
      </c>
      <c r="K112" s="2077">
        <f>SUM(K203:K216)</f>
        <v>0</v>
      </c>
      <c r="L112" s="2077">
        <f t="shared" si="62"/>
        <v>0</v>
      </c>
      <c r="M112" s="2077">
        <f t="shared" si="62"/>
        <v>0</v>
      </c>
      <c r="N112" s="2078">
        <f t="shared" si="62"/>
        <v>0</v>
      </c>
    </row>
    <row r="113" spans="1:14" ht="13.5" customHeight="1">
      <c r="A113" s="2095"/>
      <c r="B113" s="2096"/>
      <c r="C113" s="2097" t="s">
        <v>2620</v>
      </c>
      <c r="D113" s="2097"/>
      <c r="E113" s="2098"/>
      <c r="F113" s="2099">
        <f t="shared" si="57"/>
        <v>0</v>
      </c>
      <c r="G113" s="2100">
        <f t="shared" ref="G113:N113" si="63">SUM(G114:G116)</f>
        <v>0</v>
      </c>
      <c r="H113" s="2100">
        <f t="shared" si="63"/>
        <v>0</v>
      </c>
      <c r="I113" s="2100">
        <f t="shared" si="63"/>
        <v>0</v>
      </c>
      <c r="J113" s="2100">
        <f>SUM(J114:J116)</f>
        <v>0</v>
      </c>
      <c r="K113" s="2100">
        <f>SUM(K114:K116)</f>
        <v>0</v>
      </c>
      <c r="L113" s="2100">
        <f t="shared" si="63"/>
        <v>0</v>
      </c>
      <c r="M113" s="2100">
        <f t="shared" si="63"/>
        <v>0</v>
      </c>
      <c r="N113" s="2101">
        <f t="shared" si="63"/>
        <v>0</v>
      </c>
    </row>
    <row r="114" spans="1:14" ht="13.5" customHeight="1">
      <c r="A114" s="2095"/>
      <c r="B114" s="2096"/>
      <c r="C114" s="2102" t="s">
        <v>2617</v>
      </c>
      <c r="D114" s="2102"/>
      <c r="E114" s="2098"/>
      <c r="F114" s="2099">
        <f t="shared" si="57"/>
        <v>0</v>
      </c>
      <c r="G114" s="2100">
        <f t="shared" ref="G114:N114" si="64">+G239-G254</f>
        <v>0</v>
      </c>
      <c r="H114" s="2100">
        <f t="shared" si="64"/>
        <v>0</v>
      </c>
      <c r="I114" s="2100">
        <f t="shared" si="64"/>
        <v>0</v>
      </c>
      <c r="J114" s="2100">
        <f>+J239-J254</f>
        <v>0</v>
      </c>
      <c r="K114" s="2100">
        <f>+K239-K254</f>
        <v>0</v>
      </c>
      <c r="L114" s="2100">
        <f t="shared" si="64"/>
        <v>0</v>
      </c>
      <c r="M114" s="2100">
        <f t="shared" si="64"/>
        <v>0</v>
      </c>
      <c r="N114" s="2101">
        <f t="shared" si="64"/>
        <v>0</v>
      </c>
    </row>
    <row r="115" spans="1:14" ht="13.5" customHeight="1">
      <c r="A115" s="2095"/>
      <c r="B115" s="2096"/>
      <c r="C115" s="2102" t="s">
        <v>2621</v>
      </c>
      <c r="D115" s="2102"/>
      <c r="E115" s="2098"/>
      <c r="F115" s="2099">
        <f t="shared" si="57"/>
        <v>0</v>
      </c>
      <c r="G115" s="2100">
        <f t="shared" ref="G115:N115" si="65">+G240+G241</f>
        <v>0</v>
      </c>
      <c r="H115" s="2100">
        <f t="shared" si="65"/>
        <v>0</v>
      </c>
      <c r="I115" s="2100">
        <f t="shared" si="65"/>
        <v>0</v>
      </c>
      <c r="J115" s="2100">
        <f>+J240+J241</f>
        <v>0</v>
      </c>
      <c r="K115" s="2100">
        <f>+K240+K241</f>
        <v>0</v>
      </c>
      <c r="L115" s="2100">
        <f t="shared" si="65"/>
        <v>0</v>
      </c>
      <c r="M115" s="2100">
        <f t="shared" si="65"/>
        <v>0</v>
      </c>
      <c r="N115" s="2101">
        <f t="shared" si="65"/>
        <v>0</v>
      </c>
    </row>
    <row r="116" spans="1:14" ht="13.5" customHeight="1">
      <c r="A116" s="2095"/>
      <c r="B116" s="2103"/>
      <c r="C116" s="2035" t="s">
        <v>2622</v>
      </c>
      <c r="D116" s="2035"/>
      <c r="E116" s="2104"/>
      <c r="F116" s="2105">
        <f t="shared" si="57"/>
        <v>0</v>
      </c>
      <c r="G116" s="2106">
        <f t="shared" ref="G116:N116" si="66">SUM(G242:G246)</f>
        <v>0</v>
      </c>
      <c r="H116" s="2106">
        <f t="shared" si="66"/>
        <v>0</v>
      </c>
      <c r="I116" s="2106">
        <f t="shared" si="66"/>
        <v>0</v>
      </c>
      <c r="J116" s="2106">
        <f>SUM(J242:J246)</f>
        <v>0</v>
      </c>
      <c r="K116" s="2106">
        <f>SUM(K242:K246)</f>
        <v>0</v>
      </c>
      <c r="L116" s="2106">
        <f t="shared" si="66"/>
        <v>0</v>
      </c>
      <c r="M116" s="2106">
        <f t="shared" si="66"/>
        <v>0</v>
      </c>
      <c r="N116" s="2107">
        <f t="shared" si="66"/>
        <v>0</v>
      </c>
    </row>
    <row r="117" spans="1:14" ht="13.5" customHeight="1">
      <c r="A117" s="2108"/>
      <c r="B117" s="2065" t="s">
        <v>2862</v>
      </c>
      <c r="C117" s="2109"/>
      <c r="D117" s="2065"/>
      <c r="E117" s="2110"/>
      <c r="F117" s="2015">
        <f t="shared" si="57"/>
        <v>0</v>
      </c>
      <c r="G117" s="2111">
        <f t="shared" ref="G117:N117" si="67">G104+G109</f>
        <v>0</v>
      </c>
      <c r="H117" s="2111">
        <f t="shared" si="67"/>
        <v>0</v>
      </c>
      <c r="I117" s="2111">
        <f t="shared" si="67"/>
        <v>0</v>
      </c>
      <c r="J117" s="2111">
        <f>J104+J109</f>
        <v>0</v>
      </c>
      <c r="K117" s="2111">
        <f>K104+K109</f>
        <v>0</v>
      </c>
      <c r="L117" s="2111">
        <f t="shared" si="67"/>
        <v>0</v>
      </c>
      <c r="M117" s="2111">
        <f t="shared" si="67"/>
        <v>0</v>
      </c>
      <c r="N117" s="2112">
        <f t="shared" si="67"/>
        <v>0</v>
      </c>
    </row>
    <row r="118" spans="1:14" ht="13.5" customHeight="1">
      <c r="A118" s="2013"/>
      <c r="B118" s="2013"/>
      <c r="C118" s="2113" t="s">
        <v>2824</v>
      </c>
      <c r="D118" s="2113"/>
      <c r="E118" s="2114"/>
      <c r="F118" s="2115"/>
      <c r="G118" s="2116" t="s">
        <v>2626</v>
      </c>
      <c r="H118" s="2117"/>
      <c r="I118" s="2117"/>
      <c r="J118" s="2117"/>
      <c r="K118" s="2117"/>
      <c r="L118" s="2117"/>
      <c r="M118" s="2117"/>
      <c r="N118" s="2117"/>
    </row>
    <row r="119" spans="1:14" ht="13.5" customHeight="1">
      <c r="A119" s="1994"/>
      <c r="B119" s="1995"/>
      <c r="C119" s="1995"/>
      <c r="D119" s="2118"/>
      <c r="E119" s="1997"/>
      <c r="F119" s="1997" t="s">
        <v>2517</v>
      </c>
      <c r="G119" s="1999" t="str">
        <f t="shared" ref="G119:N119" si="68">+G89</f>
        <v>工事１</v>
      </c>
      <c r="H119" s="1999">
        <f t="shared" si="68"/>
        <v>0</v>
      </c>
      <c r="I119" s="1999">
        <f t="shared" si="68"/>
        <v>0</v>
      </c>
      <c r="J119" s="1999">
        <f>+J89</f>
        <v>0</v>
      </c>
      <c r="K119" s="1999">
        <f>+K89</f>
        <v>0</v>
      </c>
      <c r="L119" s="1999">
        <f t="shared" si="68"/>
        <v>0</v>
      </c>
      <c r="M119" s="1999">
        <f t="shared" si="68"/>
        <v>0</v>
      </c>
      <c r="N119" s="2000">
        <f t="shared" si="68"/>
        <v>0</v>
      </c>
    </row>
    <row r="120" spans="1:14" ht="13.5" customHeight="1">
      <c r="A120" s="2119" t="s">
        <v>2769</v>
      </c>
      <c r="B120" s="2120"/>
      <c r="C120" s="2121"/>
      <c r="D120" s="2121"/>
      <c r="E120" s="2122"/>
      <c r="F120" s="2123"/>
      <c r="G120" s="2124"/>
      <c r="H120" s="2124"/>
      <c r="I120" s="2124"/>
      <c r="J120" s="2124"/>
      <c r="K120" s="2124"/>
      <c r="L120" s="2124"/>
      <c r="M120" s="2124"/>
      <c r="N120" s="2125"/>
    </row>
    <row r="121" spans="1:14" ht="13.5" customHeight="1">
      <c r="A121" s="2916"/>
      <c r="B121" s="2919" t="s">
        <v>2863</v>
      </c>
      <c r="C121" s="2070" t="s">
        <v>2542</v>
      </c>
      <c r="D121" s="2070"/>
      <c r="E121" s="2092"/>
      <c r="F121" s="2022">
        <f t="shared" ref="F121:F142" si="69">SUM(G121:N121)</f>
        <v>0</v>
      </c>
      <c r="G121" s="2126">
        <f t="shared" ref="G121:N121" si="70">IF(G88="新営",G94-SUM(G126:G132)-G136-G140,0)</f>
        <v>0</v>
      </c>
      <c r="H121" s="2126">
        <f t="shared" si="70"/>
        <v>0</v>
      </c>
      <c r="I121" s="2126">
        <f t="shared" si="70"/>
        <v>0</v>
      </c>
      <c r="J121" s="2126">
        <f>IF(J88="新営",J94-SUM(J126:J132)-J136-J140,0)</f>
        <v>0</v>
      </c>
      <c r="K121" s="2126">
        <f>IF(K88="新営",K94-SUM(K126:K132)-K136-K140,0)</f>
        <v>0</v>
      </c>
      <c r="L121" s="2126">
        <f t="shared" si="70"/>
        <v>0</v>
      </c>
      <c r="M121" s="2126">
        <f t="shared" si="70"/>
        <v>0</v>
      </c>
      <c r="N121" s="2127">
        <f t="shared" si="70"/>
        <v>0</v>
      </c>
    </row>
    <row r="122" spans="1:14" ht="13.5" customHeight="1">
      <c r="A122" s="2917"/>
      <c r="B122" s="2920"/>
      <c r="C122" s="2128" t="s">
        <v>2864</v>
      </c>
      <c r="D122" s="2128"/>
      <c r="E122" s="2129"/>
      <c r="F122" s="2130">
        <f t="shared" si="69"/>
        <v>0</v>
      </c>
      <c r="G122" s="2131">
        <f t="shared" ref="G122:N122" si="71">IF(G88="改修",G94-SUM(G126:G132)-G136-G140,0)</f>
        <v>0</v>
      </c>
      <c r="H122" s="2131">
        <f t="shared" si="71"/>
        <v>0</v>
      </c>
      <c r="I122" s="2131">
        <f t="shared" si="71"/>
        <v>0</v>
      </c>
      <c r="J122" s="2131">
        <f>IF(J88="改修",J94-SUM(J126:J132)-J136-J140,0)</f>
        <v>0</v>
      </c>
      <c r="K122" s="2131">
        <f>IF(K88="改修",K94-SUM(K126:K132)-K136-K140,0)</f>
        <v>0</v>
      </c>
      <c r="L122" s="2131">
        <f t="shared" si="71"/>
        <v>0</v>
      </c>
      <c r="M122" s="2131">
        <f t="shared" si="71"/>
        <v>0</v>
      </c>
      <c r="N122" s="2132">
        <f t="shared" si="71"/>
        <v>0</v>
      </c>
    </row>
    <row r="123" spans="1:14" ht="13.5" customHeight="1">
      <c r="A123" s="2917"/>
      <c r="B123" s="2920"/>
      <c r="C123" s="2133" t="s">
        <v>2865</v>
      </c>
      <c r="D123" s="2133"/>
      <c r="E123" s="2134"/>
      <c r="F123" s="2094">
        <f t="shared" si="69"/>
        <v>0</v>
      </c>
      <c r="G123" s="2077">
        <f t="shared" ref="G123:N123" si="72">G98</f>
        <v>0</v>
      </c>
      <c r="H123" s="2077">
        <f t="shared" si="72"/>
        <v>0</v>
      </c>
      <c r="I123" s="2077">
        <f t="shared" si="72"/>
        <v>0</v>
      </c>
      <c r="J123" s="2077">
        <f>J98</f>
        <v>0</v>
      </c>
      <c r="K123" s="2077">
        <f>K98</f>
        <v>0</v>
      </c>
      <c r="L123" s="2077">
        <f t="shared" si="72"/>
        <v>0</v>
      </c>
      <c r="M123" s="2077">
        <f t="shared" si="72"/>
        <v>0</v>
      </c>
      <c r="N123" s="2078">
        <f t="shared" si="72"/>
        <v>0</v>
      </c>
    </row>
    <row r="124" spans="1:14" ht="13.5" customHeight="1">
      <c r="A124" s="2917"/>
      <c r="B124" s="2921"/>
      <c r="C124" s="2135" t="s">
        <v>2866</v>
      </c>
      <c r="D124" s="2136"/>
      <c r="E124" s="2075"/>
      <c r="F124" s="2076">
        <f t="shared" si="69"/>
        <v>0</v>
      </c>
      <c r="G124" s="2137">
        <f t="shared" ref="G124:N124" si="73">IF(G$91="積上げ",0,G172)</f>
        <v>0</v>
      </c>
      <c r="H124" s="2137">
        <f t="shared" si="73"/>
        <v>0</v>
      </c>
      <c r="I124" s="2137">
        <f t="shared" si="73"/>
        <v>0</v>
      </c>
      <c r="J124" s="2137">
        <f>IF(J$91="積上げ",0,J172)</f>
        <v>0</v>
      </c>
      <c r="K124" s="2137">
        <f>IF(K$91="積上げ",0,K172)</f>
        <v>0</v>
      </c>
      <c r="L124" s="2137">
        <f t="shared" si="73"/>
        <v>0</v>
      </c>
      <c r="M124" s="2137">
        <f t="shared" si="73"/>
        <v>0</v>
      </c>
      <c r="N124" s="2138">
        <f t="shared" si="73"/>
        <v>0</v>
      </c>
    </row>
    <row r="125" spans="1:14" ht="13.5" customHeight="1">
      <c r="A125" s="2917"/>
      <c r="B125" s="2922" t="s">
        <v>2741</v>
      </c>
      <c r="C125" s="2923" t="s">
        <v>2867</v>
      </c>
      <c r="D125" s="2924"/>
      <c r="E125" s="2925"/>
      <c r="F125" s="2094">
        <f t="shared" si="69"/>
        <v>0</v>
      </c>
      <c r="G125" s="2139">
        <f t="shared" ref="G125:N125" si="74">G97-G98-G137-G138-G139-G141-G142</f>
        <v>0</v>
      </c>
      <c r="H125" s="2139">
        <f t="shared" si="74"/>
        <v>0</v>
      </c>
      <c r="I125" s="2139">
        <f t="shared" si="74"/>
        <v>0</v>
      </c>
      <c r="J125" s="2139">
        <f>J97-J98-J137-J138-J139-J141-J142</f>
        <v>0</v>
      </c>
      <c r="K125" s="2139">
        <f>K97-K98-K137-K138-K139-K141-K142</f>
        <v>0</v>
      </c>
      <c r="L125" s="2139">
        <f t="shared" si="74"/>
        <v>0</v>
      </c>
      <c r="M125" s="2139">
        <f t="shared" si="74"/>
        <v>0</v>
      </c>
      <c r="N125" s="2140">
        <f t="shared" si="74"/>
        <v>0</v>
      </c>
    </row>
    <row r="126" spans="1:14" ht="13.5" customHeight="1">
      <c r="A126" s="2917"/>
      <c r="B126" s="2920"/>
      <c r="C126" s="2136" t="s">
        <v>2868</v>
      </c>
      <c r="D126" s="2136"/>
      <c r="E126" s="2075"/>
      <c r="F126" s="2076">
        <f t="shared" si="69"/>
        <v>0</v>
      </c>
      <c r="G126" s="2141"/>
      <c r="H126" s="2141"/>
      <c r="I126" s="2141"/>
      <c r="J126" s="2141"/>
      <c r="K126" s="2141"/>
      <c r="L126" s="2142"/>
      <c r="M126" s="2142"/>
      <c r="N126" s="2143"/>
    </row>
    <row r="127" spans="1:14" ht="13.5" customHeight="1">
      <c r="A127" s="2917"/>
      <c r="B127" s="2920"/>
      <c r="C127" s="2144" t="s">
        <v>2869</v>
      </c>
      <c r="D127" s="2136"/>
      <c r="E127" s="2075"/>
      <c r="F127" s="2076">
        <f t="shared" si="69"/>
        <v>0</v>
      </c>
      <c r="G127" s="2141"/>
      <c r="H127" s="2141"/>
      <c r="I127" s="2141"/>
      <c r="J127" s="2141"/>
      <c r="K127" s="2141"/>
      <c r="L127" s="2142"/>
      <c r="M127" s="2142"/>
      <c r="N127" s="2143"/>
    </row>
    <row r="128" spans="1:14" ht="13.5" customHeight="1">
      <c r="A128" s="2917"/>
      <c r="B128" s="2920"/>
      <c r="C128" s="2136" t="s">
        <v>2870</v>
      </c>
      <c r="D128" s="2136"/>
      <c r="E128" s="2075"/>
      <c r="F128" s="2076">
        <f t="shared" si="69"/>
        <v>0</v>
      </c>
      <c r="G128" s="2141"/>
      <c r="H128" s="2141"/>
      <c r="I128" s="2141"/>
      <c r="J128" s="2141"/>
      <c r="K128" s="2141"/>
      <c r="L128" s="2142"/>
      <c r="M128" s="2142"/>
      <c r="N128" s="2143"/>
    </row>
    <row r="129" spans="1:16" ht="13.5" customHeight="1">
      <c r="A129" s="2917"/>
      <c r="B129" s="2920"/>
      <c r="C129" s="2136" t="s">
        <v>2871</v>
      </c>
      <c r="D129" s="2136"/>
      <c r="E129" s="2075"/>
      <c r="F129" s="2076">
        <f t="shared" si="69"/>
        <v>0</v>
      </c>
      <c r="G129" s="2141"/>
      <c r="H129" s="2141"/>
      <c r="I129" s="2141"/>
      <c r="J129" s="2141"/>
      <c r="K129" s="2141"/>
      <c r="L129" s="2142"/>
      <c r="M129" s="2142"/>
      <c r="N129" s="2143"/>
    </row>
    <row r="130" spans="1:16" ht="13.5" customHeight="1">
      <c r="A130" s="2917"/>
      <c r="B130" s="2920"/>
      <c r="C130" s="2145" t="s">
        <v>2872</v>
      </c>
      <c r="D130" s="2136"/>
      <c r="E130" s="2075"/>
      <c r="F130" s="2076">
        <f t="shared" si="69"/>
        <v>0</v>
      </c>
      <c r="G130" s="2141"/>
      <c r="H130" s="2141"/>
      <c r="I130" s="2141"/>
      <c r="J130" s="2141"/>
      <c r="K130" s="2141"/>
      <c r="L130" s="2142"/>
      <c r="M130" s="2142"/>
      <c r="N130" s="2143"/>
    </row>
    <row r="131" spans="1:16" ht="13.5" customHeight="1">
      <c r="A131" s="2917"/>
      <c r="B131" s="2920"/>
      <c r="C131" s="2136"/>
      <c r="D131" s="2136"/>
      <c r="E131" s="2075"/>
      <c r="F131" s="2076">
        <f t="shared" si="69"/>
        <v>0</v>
      </c>
      <c r="G131" s="1914"/>
      <c r="H131" s="1914"/>
      <c r="I131" s="1914"/>
      <c r="J131" s="1914"/>
      <c r="K131" s="1914"/>
      <c r="L131" s="2146"/>
      <c r="M131" s="2146"/>
      <c r="N131" s="2147"/>
    </row>
    <row r="132" spans="1:16" ht="13.5" customHeight="1">
      <c r="A132" s="2917"/>
      <c r="B132" s="2921"/>
      <c r="C132" s="2148"/>
      <c r="D132" s="2149"/>
      <c r="E132" s="2150"/>
      <c r="F132" s="2076">
        <f t="shared" si="69"/>
        <v>0</v>
      </c>
      <c r="G132" s="1914"/>
      <c r="H132" s="1914"/>
      <c r="I132" s="1914"/>
      <c r="J132" s="1914"/>
      <c r="K132" s="1914"/>
      <c r="L132" s="2146"/>
      <c r="M132" s="2146"/>
      <c r="N132" s="2147"/>
    </row>
    <row r="133" spans="1:16" ht="13.5" customHeight="1">
      <c r="A133" s="2917"/>
      <c r="B133" s="2922" t="s">
        <v>477</v>
      </c>
      <c r="C133" s="2151" t="s">
        <v>2873</v>
      </c>
      <c r="D133" s="2136"/>
      <c r="E133" s="2075"/>
      <c r="F133" s="2076">
        <f t="shared" si="69"/>
        <v>0</v>
      </c>
      <c r="G133" s="2141"/>
      <c r="H133" s="2141"/>
      <c r="I133" s="2141"/>
      <c r="J133" s="2141"/>
      <c r="K133" s="2141"/>
      <c r="L133" s="2142"/>
      <c r="M133" s="2142"/>
      <c r="N133" s="2143"/>
    </row>
    <row r="134" spans="1:16" ht="13.5" customHeight="1">
      <c r="A134" s="2917"/>
      <c r="B134" s="2920"/>
      <c r="C134" s="2152" t="s">
        <v>2778</v>
      </c>
      <c r="D134" s="2136"/>
      <c r="E134" s="2075"/>
      <c r="F134" s="2076">
        <f t="shared" si="69"/>
        <v>0</v>
      </c>
      <c r="G134" s="2141"/>
      <c r="H134" s="2141"/>
      <c r="I134" s="2141"/>
      <c r="J134" s="2141"/>
      <c r="K134" s="2141"/>
      <c r="L134" s="2142"/>
      <c r="M134" s="2142"/>
      <c r="N134" s="2143"/>
    </row>
    <row r="135" spans="1:16" ht="13.5" customHeight="1">
      <c r="A135" s="2917"/>
      <c r="B135" s="2921"/>
      <c r="C135" s="2152" t="s">
        <v>2874</v>
      </c>
      <c r="D135" s="2136"/>
      <c r="E135" s="2075"/>
      <c r="F135" s="2076">
        <f t="shared" si="69"/>
        <v>0</v>
      </c>
      <c r="G135" s="2141"/>
      <c r="H135" s="2141"/>
      <c r="I135" s="2141"/>
      <c r="J135" s="2141"/>
      <c r="K135" s="2141"/>
      <c r="L135" s="2142"/>
      <c r="M135" s="2142"/>
      <c r="N135" s="2143"/>
    </row>
    <row r="136" spans="1:16" ht="13.5" customHeight="1">
      <c r="A136" s="2917"/>
      <c r="B136" s="2926" t="s">
        <v>2556</v>
      </c>
      <c r="C136" s="2153" t="s">
        <v>2875</v>
      </c>
      <c r="D136" s="2136"/>
      <c r="E136" s="2075"/>
      <c r="F136" s="2076">
        <f t="shared" si="69"/>
        <v>0</v>
      </c>
      <c r="G136" s="2141"/>
      <c r="H136" s="2141"/>
      <c r="I136" s="2141"/>
      <c r="J136" s="2141"/>
      <c r="K136" s="2141"/>
      <c r="L136" s="2142"/>
      <c r="M136" s="2142"/>
      <c r="N136" s="2143"/>
    </row>
    <row r="137" spans="1:16" ht="13.5" customHeight="1">
      <c r="A137" s="2917"/>
      <c r="B137" s="2926"/>
      <c r="C137" s="2154" t="s">
        <v>2876</v>
      </c>
      <c r="D137" s="2136"/>
      <c r="E137" s="2075"/>
      <c r="F137" s="2076">
        <f t="shared" si="69"/>
        <v>0</v>
      </c>
      <c r="G137" s="2155">
        <f t="shared" ref="G137:N137" si="75">G101</f>
        <v>0</v>
      </c>
      <c r="H137" s="2155">
        <f t="shared" si="75"/>
        <v>0</v>
      </c>
      <c r="I137" s="2155">
        <f t="shared" si="75"/>
        <v>0</v>
      </c>
      <c r="J137" s="2155">
        <f>J101</f>
        <v>0</v>
      </c>
      <c r="K137" s="2155">
        <f>K101</f>
        <v>0</v>
      </c>
      <c r="L137" s="2155">
        <f t="shared" si="75"/>
        <v>0</v>
      </c>
      <c r="M137" s="2155">
        <f t="shared" si="75"/>
        <v>0</v>
      </c>
      <c r="N137" s="2156">
        <f t="shared" si="75"/>
        <v>0</v>
      </c>
    </row>
    <row r="138" spans="1:16" ht="13.5" customHeight="1">
      <c r="A138" s="2917"/>
      <c r="B138" s="2926"/>
      <c r="C138" s="2151" t="s">
        <v>2877</v>
      </c>
      <c r="D138" s="2136"/>
      <c r="E138" s="2075"/>
      <c r="F138" s="2076">
        <f t="shared" si="69"/>
        <v>0</v>
      </c>
      <c r="G138" s="2155">
        <f t="shared" ref="G138:N139" si="76">G99</f>
        <v>0</v>
      </c>
      <c r="H138" s="2155">
        <f t="shared" si="76"/>
        <v>0</v>
      </c>
      <c r="I138" s="2155">
        <f t="shared" si="76"/>
        <v>0</v>
      </c>
      <c r="J138" s="2155">
        <f>J99</f>
        <v>0</v>
      </c>
      <c r="K138" s="2155">
        <f>K99</f>
        <v>0</v>
      </c>
      <c r="L138" s="2155">
        <f t="shared" si="76"/>
        <v>0</v>
      </c>
      <c r="M138" s="2155">
        <f t="shared" si="76"/>
        <v>0</v>
      </c>
      <c r="N138" s="2156">
        <f t="shared" si="76"/>
        <v>0</v>
      </c>
    </row>
    <row r="139" spans="1:16" ht="13.5" customHeight="1">
      <c r="A139" s="2917"/>
      <c r="B139" s="2926"/>
      <c r="C139" s="2151" t="s">
        <v>2878</v>
      </c>
      <c r="D139" s="2136"/>
      <c r="E139" s="2075"/>
      <c r="F139" s="2076">
        <f t="shared" si="69"/>
        <v>0</v>
      </c>
      <c r="G139" s="2155">
        <f t="shared" si="76"/>
        <v>0</v>
      </c>
      <c r="H139" s="2155">
        <f t="shared" si="76"/>
        <v>0</v>
      </c>
      <c r="I139" s="2155">
        <f t="shared" si="76"/>
        <v>0</v>
      </c>
      <c r="J139" s="2155">
        <f>J100</f>
        <v>0</v>
      </c>
      <c r="K139" s="2155">
        <f>K100</f>
        <v>0</v>
      </c>
      <c r="L139" s="2155">
        <f t="shared" si="76"/>
        <v>0</v>
      </c>
      <c r="M139" s="2155">
        <f t="shared" si="76"/>
        <v>0</v>
      </c>
      <c r="N139" s="2156">
        <f t="shared" si="76"/>
        <v>0</v>
      </c>
    </row>
    <row r="140" spans="1:16" ht="13.5" customHeight="1">
      <c r="A140" s="2917"/>
      <c r="B140" s="2922"/>
      <c r="C140" s="2157" t="s">
        <v>2879</v>
      </c>
      <c r="D140" s="2157"/>
      <c r="E140" s="2158"/>
      <c r="F140" s="2046">
        <f t="shared" si="69"/>
        <v>0</v>
      </c>
      <c r="G140" s="2159"/>
      <c r="H140" s="2159"/>
      <c r="I140" s="2159"/>
      <c r="J140" s="2159"/>
      <c r="K140" s="2159"/>
      <c r="L140" s="2159"/>
      <c r="M140" s="2159"/>
      <c r="N140" s="2160"/>
    </row>
    <row r="141" spans="1:16" ht="13.5" customHeight="1">
      <c r="A141" s="2917"/>
      <c r="B141" s="2922"/>
      <c r="C141" s="2161" t="s">
        <v>2880</v>
      </c>
      <c r="D141" s="2157"/>
      <c r="E141" s="2158"/>
      <c r="F141" s="2046">
        <f t="shared" si="69"/>
        <v>0</v>
      </c>
      <c r="G141" s="2155">
        <f t="shared" ref="G141:N141" si="77">G103</f>
        <v>0</v>
      </c>
      <c r="H141" s="2155">
        <f t="shared" si="77"/>
        <v>0</v>
      </c>
      <c r="I141" s="2155">
        <f t="shared" si="77"/>
        <v>0</v>
      </c>
      <c r="J141" s="2155">
        <f>J103</f>
        <v>0</v>
      </c>
      <c r="K141" s="2155">
        <f>K103</f>
        <v>0</v>
      </c>
      <c r="L141" s="2155">
        <f t="shared" si="77"/>
        <v>0</v>
      </c>
      <c r="M141" s="2155">
        <f t="shared" si="77"/>
        <v>0</v>
      </c>
      <c r="N141" s="2156">
        <f t="shared" si="77"/>
        <v>0</v>
      </c>
    </row>
    <row r="142" spans="1:16" ht="15" customHeight="1">
      <c r="A142" s="2918"/>
      <c r="B142" s="2927"/>
      <c r="C142" s="2162" t="s">
        <v>2881</v>
      </c>
      <c r="D142" s="2163"/>
      <c r="E142" s="2082"/>
      <c r="F142" s="2164">
        <f t="shared" si="69"/>
        <v>0</v>
      </c>
      <c r="G142" s="2165">
        <f t="shared" ref="G142:N142" si="78">G102</f>
        <v>0</v>
      </c>
      <c r="H142" s="2165">
        <f t="shared" si="78"/>
        <v>0</v>
      </c>
      <c r="I142" s="2165">
        <f t="shared" si="78"/>
        <v>0</v>
      </c>
      <c r="J142" s="2165">
        <f>J102</f>
        <v>0</v>
      </c>
      <c r="K142" s="2165">
        <f>K102</f>
        <v>0</v>
      </c>
      <c r="L142" s="2165">
        <f t="shared" si="78"/>
        <v>0</v>
      </c>
      <c r="M142" s="2165">
        <f t="shared" si="78"/>
        <v>0</v>
      </c>
      <c r="N142" s="2166">
        <f t="shared" si="78"/>
        <v>0</v>
      </c>
    </row>
    <row r="143" spans="1:16" s="2172" customFormat="1" ht="14.25" customHeight="1">
      <c r="A143" s="2167"/>
      <c r="B143" s="2167"/>
      <c r="C143" s="2168" t="s">
        <v>2632</v>
      </c>
      <c r="D143" s="2168"/>
      <c r="E143" s="2169"/>
      <c r="F143" s="2169"/>
      <c r="G143" s="2170"/>
      <c r="H143" s="2170"/>
      <c r="I143" s="2170"/>
      <c r="J143" s="2170"/>
      <c r="K143" s="2170"/>
      <c r="L143" s="2170"/>
      <c r="M143" s="2170"/>
      <c r="N143" s="1720" t="s">
        <v>2882</v>
      </c>
      <c r="O143" s="2170"/>
      <c r="P143" s="2171"/>
    </row>
    <row r="144" spans="1:16" s="2172" customFormat="1" ht="14.25" customHeight="1">
      <c r="A144" s="2167"/>
      <c r="B144" s="2167"/>
      <c r="C144" s="2173" t="s">
        <v>2634</v>
      </c>
      <c r="D144" s="2173"/>
      <c r="E144" s="2169"/>
      <c r="F144" s="2169"/>
      <c r="G144" s="2170"/>
      <c r="H144" s="2170"/>
      <c r="I144" s="2170"/>
      <c r="J144" s="2170"/>
      <c r="K144" s="2170"/>
      <c r="L144" s="2170"/>
      <c r="M144" s="2170"/>
      <c r="N144" s="2174"/>
      <c r="O144" s="2170"/>
      <c r="P144" s="2171"/>
    </row>
    <row r="145" spans="1:16" s="2172" customFormat="1" ht="14.25" customHeight="1">
      <c r="A145" s="2175"/>
      <c r="B145" s="2176"/>
      <c r="C145" s="2176"/>
      <c r="D145" s="2912" t="s">
        <v>2635</v>
      </c>
      <c r="E145" s="2912" t="s">
        <v>2883</v>
      </c>
      <c r="F145" s="2177" t="s">
        <v>2517</v>
      </c>
      <c r="G145" s="2178" t="str">
        <f t="shared" ref="G145:N145" si="79">G89</f>
        <v>工事１</v>
      </c>
      <c r="H145" s="2178">
        <f t="shared" si="79"/>
        <v>0</v>
      </c>
      <c r="I145" s="2178">
        <f t="shared" si="79"/>
        <v>0</v>
      </c>
      <c r="J145" s="2178">
        <f>J89</f>
        <v>0</v>
      </c>
      <c r="K145" s="2178">
        <f>K89</f>
        <v>0</v>
      </c>
      <c r="L145" s="2178">
        <f t="shared" si="79"/>
        <v>0</v>
      </c>
      <c r="M145" s="2178">
        <f t="shared" si="79"/>
        <v>0</v>
      </c>
      <c r="N145" s="2179">
        <f t="shared" si="79"/>
        <v>0</v>
      </c>
      <c r="O145" s="2171"/>
      <c r="P145" s="2171"/>
    </row>
    <row r="146" spans="1:16" s="2172" customFormat="1" ht="14.25" customHeight="1">
      <c r="A146" s="2903" t="s">
        <v>2637</v>
      </c>
      <c r="B146" s="2914"/>
      <c r="C146" s="2914"/>
      <c r="D146" s="2913"/>
      <c r="E146" s="2913"/>
      <c r="F146" s="2180"/>
      <c r="G146" s="2181"/>
      <c r="H146" s="2181"/>
      <c r="I146" s="2181"/>
      <c r="J146" s="2181"/>
      <c r="K146" s="2181"/>
      <c r="L146" s="2181"/>
      <c r="M146" s="2181"/>
      <c r="N146" s="2182"/>
      <c r="O146" s="2183"/>
      <c r="P146" s="2183"/>
    </row>
    <row r="147" spans="1:16" s="2172" customFormat="1" ht="14.25" customHeight="1">
      <c r="A147" s="2904"/>
      <c r="B147" s="2184" t="s">
        <v>2884</v>
      </c>
      <c r="C147" s="2185"/>
      <c r="D147" s="2185"/>
      <c r="E147" s="2186"/>
      <c r="F147" s="2187">
        <f>SUM(G147:N147)</f>
        <v>0</v>
      </c>
      <c r="G147" s="2188">
        <f t="shared" ref="G147:N147" si="80">SUM(G148:G154)+G138</f>
        <v>0</v>
      </c>
      <c r="H147" s="2188">
        <f t="shared" si="80"/>
        <v>0</v>
      </c>
      <c r="I147" s="2188">
        <f t="shared" si="80"/>
        <v>0</v>
      </c>
      <c r="J147" s="2188">
        <f>SUM(J148:J154)+J138</f>
        <v>0</v>
      </c>
      <c r="K147" s="2188">
        <f>SUM(K148:K154)+K138</f>
        <v>0</v>
      </c>
      <c r="L147" s="2188">
        <f t="shared" si="80"/>
        <v>0</v>
      </c>
      <c r="M147" s="2188">
        <f t="shared" si="80"/>
        <v>0</v>
      </c>
      <c r="N147" s="2189">
        <f t="shared" si="80"/>
        <v>0</v>
      </c>
      <c r="O147" s="2190"/>
      <c r="P147" s="2190"/>
    </row>
    <row r="148" spans="1:16" s="2172" customFormat="1" ht="14.25" customHeight="1">
      <c r="A148" s="2905"/>
      <c r="B148" s="2911" t="s">
        <v>2740</v>
      </c>
      <c r="C148" s="2191" t="s">
        <v>2542</v>
      </c>
      <c r="D148" s="2192">
        <v>1</v>
      </c>
      <c r="E148" s="2193" t="s">
        <v>2885</v>
      </c>
      <c r="F148" s="2194">
        <f>SUM(G148:N148)</f>
        <v>0</v>
      </c>
      <c r="G148" s="2195">
        <f t="shared" ref="G148:N149" si="81">IF(G$91="積上げ",0,G121)</f>
        <v>0</v>
      </c>
      <c r="H148" s="2195">
        <f t="shared" si="81"/>
        <v>0</v>
      </c>
      <c r="I148" s="2195">
        <f t="shared" si="81"/>
        <v>0</v>
      </c>
      <c r="J148" s="2195">
        <f>IF(J$91="積上げ",0,J121)</f>
        <v>0</v>
      </c>
      <c r="K148" s="2195">
        <f>IF(K$91="積上げ",0,K121)</f>
        <v>0</v>
      </c>
      <c r="L148" s="2195">
        <f t="shared" si="81"/>
        <v>0</v>
      </c>
      <c r="M148" s="2195">
        <f t="shared" si="81"/>
        <v>0</v>
      </c>
      <c r="N148" s="2196">
        <f t="shared" si="81"/>
        <v>0</v>
      </c>
      <c r="O148" s="2183"/>
      <c r="P148" s="2183"/>
    </row>
    <row r="149" spans="1:16" s="2172" customFormat="1" ht="14.25" customHeight="1">
      <c r="A149" s="2905"/>
      <c r="B149" s="2911"/>
      <c r="C149" s="2191" t="s">
        <v>2543</v>
      </c>
      <c r="D149" s="2192">
        <v>1</v>
      </c>
      <c r="E149" s="2193" t="s">
        <v>2886</v>
      </c>
      <c r="F149" s="2194">
        <f>SUM(G149:N149)</f>
        <v>0</v>
      </c>
      <c r="G149" s="2195">
        <f t="shared" si="81"/>
        <v>0</v>
      </c>
      <c r="H149" s="2195">
        <f t="shared" si="81"/>
        <v>0</v>
      </c>
      <c r="I149" s="2195">
        <f t="shared" si="81"/>
        <v>0</v>
      </c>
      <c r="J149" s="2195">
        <f>IF(J$91="積上げ",0,J122)</f>
        <v>0</v>
      </c>
      <c r="K149" s="2195">
        <f>IF(K$91="積上げ",0,K122)</f>
        <v>0</v>
      </c>
      <c r="L149" s="2195">
        <f t="shared" si="81"/>
        <v>0</v>
      </c>
      <c r="M149" s="2195">
        <f t="shared" si="81"/>
        <v>0</v>
      </c>
      <c r="N149" s="2196">
        <f t="shared" si="81"/>
        <v>0</v>
      </c>
      <c r="O149" s="2183"/>
      <c r="P149" s="2183"/>
    </row>
    <row r="150" spans="1:16" s="2172" customFormat="1" ht="14.25" customHeight="1">
      <c r="A150" s="2905"/>
      <c r="B150" s="2910" t="s">
        <v>2741</v>
      </c>
      <c r="C150" s="2136" t="s">
        <v>2887</v>
      </c>
      <c r="D150" s="2192">
        <v>1</v>
      </c>
      <c r="E150" s="2197">
        <v>0.2</v>
      </c>
      <c r="F150" s="2195">
        <f>INT(F126/(1+$E150))</f>
        <v>0</v>
      </c>
      <c r="G150" s="2195">
        <f t="shared" ref="G150:N154" si="82">IF(G$91="積上げ",0,G184)</f>
        <v>0</v>
      </c>
      <c r="H150" s="2195">
        <f t="shared" si="82"/>
        <v>0</v>
      </c>
      <c r="I150" s="2195">
        <f t="shared" si="82"/>
        <v>0</v>
      </c>
      <c r="J150" s="2195">
        <f t="shared" si="82"/>
        <v>0</v>
      </c>
      <c r="K150" s="2195">
        <f t="shared" si="82"/>
        <v>0</v>
      </c>
      <c r="L150" s="2195">
        <f t="shared" si="82"/>
        <v>0</v>
      </c>
      <c r="M150" s="2195">
        <f t="shared" si="82"/>
        <v>0</v>
      </c>
      <c r="N150" s="2196">
        <f t="shared" si="82"/>
        <v>0</v>
      </c>
      <c r="O150" s="2183"/>
      <c r="P150" s="2183"/>
    </row>
    <row r="151" spans="1:16" s="2172" customFormat="1" ht="14.25" customHeight="1">
      <c r="A151" s="2905"/>
      <c r="B151" s="2908"/>
      <c r="C151" s="2144" t="s">
        <v>2888</v>
      </c>
      <c r="D151" s="2192">
        <v>1</v>
      </c>
      <c r="E151" s="2198">
        <v>0.25</v>
      </c>
      <c r="F151" s="2195">
        <f>INT(F127/(1+$E151))</f>
        <v>0</v>
      </c>
      <c r="G151" s="2195">
        <f t="shared" si="82"/>
        <v>0</v>
      </c>
      <c r="H151" s="2195">
        <f t="shared" si="82"/>
        <v>0</v>
      </c>
      <c r="I151" s="2195">
        <f t="shared" si="82"/>
        <v>0</v>
      </c>
      <c r="J151" s="2195">
        <f t="shared" si="82"/>
        <v>0</v>
      </c>
      <c r="K151" s="2195">
        <f t="shared" si="82"/>
        <v>0</v>
      </c>
      <c r="L151" s="2195">
        <f t="shared" si="82"/>
        <v>0</v>
      </c>
      <c r="M151" s="2195">
        <f t="shared" si="82"/>
        <v>0</v>
      </c>
      <c r="N151" s="2196">
        <f t="shared" si="82"/>
        <v>0</v>
      </c>
      <c r="O151" s="2183"/>
      <c r="P151" s="2183"/>
    </row>
    <row r="152" spans="1:16" s="2172" customFormat="1" ht="14.25" customHeight="1">
      <c r="A152" s="2905"/>
      <c r="B152" s="2908"/>
      <c r="C152" s="2136" t="s">
        <v>2889</v>
      </c>
      <c r="D152" s="2192">
        <v>1</v>
      </c>
      <c r="E152" s="2197">
        <v>0.2</v>
      </c>
      <c r="F152" s="2195">
        <f>INT(F128/(1+$E152))</f>
        <v>0</v>
      </c>
      <c r="G152" s="2195">
        <f t="shared" si="82"/>
        <v>0</v>
      </c>
      <c r="H152" s="2195">
        <f t="shared" si="82"/>
        <v>0</v>
      </c>
      <c r="I152" s="2195">
        <f t="shared" si="82"/>
        <v>0</v>
      </c>
      <c r="J152" s="2195">
        <f t="shared" si="82"/>
        <v>0</v>
      </c>
      <c r="K152" s="2195">
        <f t="shared" si="82"/>
        <v>0</v>
      </c>
      <c r="L152" s="2195">
        <f t="shared" si="82"/>
        <v>0</v>
      </c>
      <c r="M152" s="2195">
        <f t="shared" si="82"/>
        <v>0</v>
      </c>
      <c r="N152" s="2196">
        <f t="shared" si="82"/>
        <v>0</v>
      </c>
      <c r="O152" s="2183"/>
      <c r="P152" s="2183"/>
    </row>
    <row r="153" spans="1:16" s="2172" customFormat="1" ht="14.25" customHeight="1">
      <c r="A153" s="2905"/>
      <c r="B153" s="2908"/>
      <c r="C153" s="2136" t="s">
        <v>2890</v>
      </c>
      <c r="D153" s="2192">
        <v>1</v>
      </c>
      <c r="E153" s="2197">
        <v>0.2</v>
      </c>
      <c r="F153" s="2195">
        <f>INT(F129/(1+$E153))</f>
        <v>0</v>
      </c>
      <c r="G153" s="2195">
        <f t="shared" si="82"/>
        <v>0</v>
      </c>
      <c r="H153" s="2195">
        <f t="shared" si="82"/>
        <v>0</v>
      </c>
      <c r="I153" s="2195">
        <f t="shared" si="82"/>
        <v>0</v>
      </c>
      <c r="J153" s="2195">
        <f t="shared" si="82"/>
        <v>0</v>
      </c>
      <c r="K153" s="2195">
        <f t="shared" si="82"/>
        <v>0</v>
      </c>
      <c r="L153" s="2195">
        <f t="shared" si="82"/>
        <v>0</v>
      </c>
      <c r="M153" s="2195">
        <f t="shared" si="82"/>
        <v>0</v>
      </c>
      <c r="N153" s="2196">
        <f t="shared" si="82"/>
        <v>0</v>
      </c>
      <c r="O153" s="2183"/>
      <c r="P153" s="2183"/>
    </row>
    <row r="154" spans="1:16" s="2172" customFormat="1" ht="14.25" customHeight="1">
      <c r="A154" s="2905"/>
      <c r="B154" s="2887"/>
      <c r="C154" s="2145" t="s">
        <v>2891</v>
      </c>
      <c r="D154" s="2199">
        <v>1</v>
      </c>
      <c r="E154" s="2197">
        <v>0.2</v>
      </c>
      <c r="F154" s="2195">
        <f>INT(F130/(1+$E154))</f>
        <v>0</v>
      </c>
      <c r="G154" s="2195">
        <f t="shared" si="82"/>
        <v>0</v>
      </c>
      <c r="H154" s="2195">
        <f t="shared" si="82"/>
        <v>0</v>
      </c>
      <c r="I154" s="2195">
        <f t="shared" si="82"/>
        <v>0</v>
      </c>
      <c r="J154" s="2195">
        <f t="shared" si="82"/>
        <v>0</v>
      </c>
      <c r="K154" s="2195">
        <f t="shared" si="82"/>
        <v>0</v>
      </c>
      <c r="L154" s="2195">
        <f t="shared" si="82"/>
        <v>0</v>
      </c>
      <c r="M154" s="2195">
        <f t="shared" si="82"/>
        <v>0</v>
      </c>
      <c r="N154" s="2196">
        <f t="shared" si="82"/>
        <v>0</v>
      </c>
      <c r="O154" s="2183"/>
      <c r="P154" s="2183"/>
    </row>
    <row r="155" spans="1:16" s="2172" customFormat="1" ht="14.25" customHeight="1">
      <c r="A155" s="2905"/>
      <c r="B155" s="2911"/>
      <c r="C155" s="2200" t="s">
        <v>2892</v>
      </c>
      <c r="D155" s="2192">
        <v>1</v>
      </c>
      <c r="E155" s="2201"/>
      <c r="F155" s="2195"/>
      <c r="G155" s="2195"/>
      <c r="H155" s="2195"/>
      <c r="I155" s="2202"/>
      <c r="J155" s="2202"/>
      <c r="K155" s="2202"/>
      <c r="L155" s="2202"/>
      <c r="M155" s="2202"/>
      <c r="N155" s="2203"/>
      <c r="O155" s="2183"/>
      <c r="P155" s="2183"/>
    </row>
    <row r="156" spans="1:16" s="2172" customFormat="1" ht="14.25" customHeight="1">
      <c r="A156" s="2905"/>
      <c r="B156" s="2911"/>
      <c r="C156" s="2200" t="s">
        <v>2893</v>
      </c>
      <c r="D156" s="2192">
        <v>1</v>
      </c>
      <c r="E156" s="2201"/>
      <c r="F156" s="2195"/>
      <c r="G156" s="2195"/>
      <c r="H156" s="2195"/>
      <c r="I156" s="2202"/>
      <c r="J156" s="2202"/>
      <c r="K156" s="2202"/>
      <c r="L156" s="2202"/>
      <c r="M156" s="2202"/>
      <c r="N156" s="2203"/>
      <c r="O156" s="2183"/>
      <c r="P156" s="2183"/>
    </row>
    <row r="157" spans="1:16" s="2172" customFormat="1" ht="14.25" customHeight="1">
      <c r="A157" s="2915"/>
      <c r="B157" s="2204" t="s">
        <v>2644</v>
      </c>
      <c r="C157" s="2205" t="s">
        <v>2894</v>
      </c>
      <c r="D157" s="2206">
        <v>1</v>
      </c>
      <c r="E157" s="2207">
        <v>0</v>
      </c>
      <c r="F157" s="2208">
        <f>SUM(G157:N157)</f>
        <v>0</v>
      </c>
      <c r="G157" s="2209">
        <f t="shared" ref="G157:N157" si="83">IF(G91="積上げ",0,SUM(G136:G138)+G140)</f>
        <v>0</v>
      </c>
      <c r="H157" s="2209">
        <f t="shared" si="83"/>
        <v>0</v>
      </c>
      <c r="I157" s="2209">
        <f t="shared" si="83"/>
        <v>0</v>
      </c>
      <c r="J157" s="2209">
        <f>IF(J91="積上げ",0,SUM(J136:J138)+J140)</f>
        <v>0</v>
      </c>
      <c r="K157" s="2209">
        <f>IF(K91="積上げ",0,SUM(K136:K138)+K140)</f>
        <v>0</v>
      </c>
      <c r="L157" s="2209">
        <f t="shared" si="83"/>
        <v>0</v>
      </c>
      <c r="M157" s="2209">
        <f t="shared" si="83"/>
        <v>0</v>
      </c>
      <c r="N157" s="2210">
        <f t="shared" si="83"/>
        <v>0</v>
      </c>
      <c r="O157" s="2183"/>
      <c r="P157" s="2183"/>
    </row>
    <row r="158" spans="1:16" s="2172" customFormat="1" ht="14.25" customHeight="1">
      <c r="A158" s="2211"/>
      <c r="B158" s="2212"/>
      <c r="C158" s="2213"/>
      <c r="D158" s="2900"/>
      <c r="E158" s="2900"/>
      <c r="F158" s="2214"/>
      <c r="G158" s="2215"/>
      <c r="H158" s="2215"/>
      <c r="I158" s="2215"/>
      <c r="J158" s="2215"/>
      <c r="K158" s="2215"/>
      <c r="L158" s="2215"/>
      <c r="M158" s="2215"/>
      <c r="N158" s="2216"/>
      <c r="O158" s="2183"/>
      <c r="P158" s="2183"/>
    </row>
    <row r="159" spans="1:16" s="2172" customFormat="1" ht="14.25" customHeight="1">
      <c r="A159" s="2902" t="s">
        <v>2646</v>
      </c>
      <c r="B159" s="2902"/>
      <c r="C159" s="2903"/>
      <c r="D159" s="2901"/>
      <c r="E159" s="2901"/>
      <c r="F159" s="2180"/>
      <c r="G159" s="2181"/>
      <c r="H159" s="2181"/>
      <c r="I159" s="2181"/>
      <c r="J159" s="2181"/>
      <c r="K159" s="2181"/>
      <c r="L159" s="2181"/>
      <c r="M159" s="2181"/>
      <c r="N159" s="2182"/>
      <c r="O159" s="2183"/>
      <c r="P159" s="2183"/>
    </row>
    <row r="160" spans="1:16" s="2172" customFormat="1" ht="14.25" customHeight="1">
      <c r="A160" s="2904"/>
      <c r="B160" s="2907" t="s">
        <v>2740</v>
      </c>
      <c r="C160" s="2217" t="s">
        <v>2542</v>
      </c>
      <c r="D160" s="2218"/>
      <c r="E160" s="2219" t="s">
        <v>2802</v>
      </c>
      <c r="F160" s="2220" t="s">
        <v>2801</v>
      </c>
      <c r="G160" s="2221">
        <f t="shared" ref="G160:N160" si="84">IF(G88="新営",IF(G93="有り",+G264/100,G265/100),0)</f>
        <v>0</v>
      </c>
      <c r="H160" s="2221">
        <f t="shared" si="84"/>
        <v>0</v>
      </c>
      <c r="I160" s="2221">
        <f t="shared" si="84"/>
        <v>0</v>
      </c>
      <c r="J160" s="2221">
        <f>IF(J88="新営",IF(J93="有り",+J264/100,J265/100),0)</f>
        <v>0</v>
      </c>
      <c r="K160" s="2221">
        <f>IF(K88="新営",IF(K93="有り",+K264/100,K265/100),0)</f>
        <v>0</v>
      </c>
      <c r="L160" s="2221">
        <f t="shared" si="84"/>
        <v>0</v>
      </c>
      <c r="M160" s="2221">
        <f t="shared" si="84"/>
        <v>0</v>
      </c>
      <c r="N160" s="2222">
        <f t="shared" si="84"/>
        <v>0</v>
      </c>
      <c r="O160" s="2223"/>
      <c r="P160" s="2223"/>
    </row>
    <row r="161" spans="1:16" s="2172" customFormat="1" ht="14.25" customHeight="1">
      <c r="A161" s="2905"/>
      <c r="B161" s="2908"/>
      <c r="C161" s="2224"/>
      <c r="D161" s="2225">
        <f>+D148</f>
        <v>1</v>
      </c>
      <c r="E161" s="2226" t="s">
        <v>2895</v>
      </c>
      <c r="F161" s="2227">
        <f>SUM(G161:N161)</f>
        <v>0</v>
      </c>
      <c r="G161" s="2228">
        <f t="shared" ref="G161:N161" si="85">ROUNDDOWN(G148*G160*$D161,0)</f>
        <v>0</v>
      </c>
      <c r="H161" s="2228">
        <f t="shared" si="85"/>
        <v>0</v>
      </c>
      <c r="I161" s="2228">
        <f t="shared" si="85"/>
        <v>0</v>
      </c>
      <c r="J161" s="2228">
        <f>ROUNDDOWN(J148*J160*$D161,0)</f>
        <v>0</v>
      </c>
      <c r="K161" s="2228">
        <f>ROUNDDOWN(K148*K160*$D161,0)</f>
        <v>0</v>
      </c>
      <c r="L161" s="2228">
        <f t="shared" si="85"/>
        <v>0</v>
      </c>
      <c r="M161" s="2228">
        <f t="shared" si="85"/>
        <v>0</v>
      </c>
      <c r="N161" s="2203">
        <f t="shared" si="85"/>
        <v>0</v>
      </c>
      <c r="O161" s="2183"/>
      <c r="P161" s="2183"/>
    </row>
    <row r="162" spans="1:16" s="2172" customFormat="1" ht="14.25" customHeight="1">
      <c r="A162" s="2905"/>
      <c r="B162" s="2908"/>
      <c r="C162" s="2229" t="s">
        <v>2543</v>
      </c>
      <c r="D162" s="2230"/>
      <c r="E162" s="2226" t="s">
        <v>2802</v>
      </c>
      <c r="F162" s="2231" t="s">
        <v>2801</v>
      </c>
      <c r="G162" s="2232">
        <f t="shared" ref="G162:N162" si="86">IF(G88="改修",IF(G93="有り",+G273/100,G274/100),0)</f>
        <v>2.5099999999999997E-2</v>
      </c>
      <c r="H162" s="2232">
        <f t="shared" si="86"/>
        <v>0</v>
      </c>
      <c r="I162" s="2232">
        <f t="shared" si="86"/>
        <v>0</v>
      </c>
      <c r="J162" s="2232">
        <f>IF(J88="改修",IF(J93="有り",+J273/100,J274/100),0)</f>
        <v>0</v>
      </c>
      <c r="K162" s="2232">
        <f>IF(K88="改修",IF(K93="有り",+K273/100,K274/100),0)</f>
        <v>0</v>
      </c>
      <c r="L162" s="2232">
        <f t="shared" si="86"/>
        <v>0</v>
      </c>
      <c r="M162" s="2232">
        <f t="shared" si="86"/>
        <v>0</v>
      </c>
      <c r="N162" s="2233">
        <f t="shared" si="86"/>
        <v>0</v>
      </c>
      <c r="O162" s="2223"/>
      <c r="P162" s="2223"/>
    </row>
    <row r="163" spans="1:16" s="2172" customFormat="1" ht="14.25" customHeight="1">
      <c r="A163" s="2905"/>
      <c r="B163" s="2909"/>
      <c r="C163" s="2224"/>
      <c r="D163" s="2225">
        <f>+D149</f>
        <v>1</v>
      </c>
      <c r="E163" s="2226" t="s">
        <v>2895</v>
      </c>
      <c r="F163" s="2227">
        <f t="shared" ref="F163:F172" si="87">SUM(G163:N163)</f>
        <v>0</v>
      </c>
      <c r="G163" s="2228">
        <f t="shared" ref="G163:N163" si="88">ROUNDDOWN(G149*G162*$D163,0)</f>
        <v>0</v>
      </c>
      <c r="H163" s="2228">
        <f t="shared" si="88"/>
        <v>0</v>
      </c>
      <c r="I163" s="2228">
        <f t="shared" si="88"/>
        <v>0</v>
      </c>
      <c r="J163" s="2228">
        <f>ROUNDDOWN(J149*J162*$D163,0)</f>
        <v>0</v>
      </c>
      <c r="K163" s="2228">
        <f>ROUNDDOWN(K149*K162*$D163,0)</f>
        <v>0</v>
      </c>
      <c r="L163" s="2228">
        <f t="shared" si="88"/>
        <v>0</v>
      </c>
      <c r="M163" s="2228">
        <f t="shared" si="88"/>
        <v>0</v>
      </c>
      <c r="N163" s="2234">
        <f t="shared" si="88"/>
        <v>0</v>
      </c>
      <c r="O163" s="2183"/>
      <c r="P163" s="2183"/>
    </row>
    <row r="164" spans="1:16" s="2172" customFormat="1" ht="14.25" customHeight="1">
      <c r="A164" s="2905"/>
      <c r="B164" s="2910" t="s">
        <v>2741</v>
      </c>
      <c r="C164" s="2136" t="s">
        <v>2887</v>
      </c>
      <c r="D164" s="2225">
        <v>1</v>
      </c>
      <c r="E164" s="2235"/>
      <c r="F164" s="2227">
        <f t="shared" si="87"/>
        <v>0</v>
      </c>
      <c r="G164" s="2228">
        <f t="shared" ref="G164:N164" si="89">IF(G$88="改修",ROUNDDOWN(G150*G$162*$D164,0),ROUNDDOWN(G150*G$160*$D164,0))</f>
        <v>0</v>
      </c>
      <c r="H164" s="2228">
        <f t="shared" si="89"/>
        <v>0</v>
      </c>
      <c r="I164" s="2228">
        <f t="shared" si="89"/>
        <v>0</v>
      </c>
      <c r="J164" s="2228">
        <f>IF(J$88="改修",ROUNDDOWN(J150*J$162*$D164,0),ROUNDDOWN(J150*J$160*$D164,0))</f>
        <v>0</v>
      </c>
      <c r="K164" s="2228">
        <f>IF(K$88="改修",ROUNDDOWN(K150*K$162*$D164,0),ROUNDDOWN(K150*K$160*$D164,0))</f>
        <v>0</v>
      </c>
      <c r="L164" s="2228">
        <f t="shared" si="89"/>
        <v>0</v>
      </c>
      <c r="M164" s="2228">
        <f t="shared" si="89"/>
        <v>0</v>
      </c>
      <c r="N164" s="2234">
        <f t="shared" si="89"/>
        <v>0</v>
      </c>
      <c r="O164" s="2183"/>
      <c r="P164" s="2183"/>
    </row>
    <row r="165" spans="1:16" s="2172" customFormat="1" ht="14.25" customHeight="1">
      <c r="A165" s="2905"/>
      <c r="B165" s="2908"/>
      <c r="C165" s="2144" t="s">
        <v>2888</v>
      </c>
      <c r="D165" s="2225">
        <v>1</v>
      </c>
      <c r="E165" s="2226"/>
      <c r="F165" s="2227">
        <f t="shared" si="87"/>
        <v>0</v>
      </c>
      <c r="G165" s="2228">
        <f t="shared" ref="G165:N165" si="90">IF(G$88="改修",ROUNDDOWN(G151*G$162*$D165,0),IF(G88="新営",ROUNDDOWN(G151*G$160*$D165,0),0))</f>
        <v>0</v>
      </c>
      <c r="H165" s="2228">
        <f t="shared" si="90"/>
        <v>0</v>
      </c>
      <c r="I165" s="2228">
        <f t="shared" si="90"/>
        <v>0</v>
      </c>
      <c r="J165" s="2228">
        <f>IF(J$88="改修",ROUNDDOWN(J151*J$162*$D165,0),IF(J88="新営",ROUNDDOWN(J151*J$160*$D165,0),0))</f>
        <v>0</v>
      </c>
      <c r="K165" s="2228">
        <f>IF(K$88="改修",ROUNDDOWN(K151*K$162*$D165,0),IF(K88="新営",ROUNDDOWN(K151*K$160*$D165,0),0))</f>
        <v>0</v>
      </c>
      <c r="L165" s="2228">
        <f t="shared" si="90"/>
        <v>0</v>
      </c>
      <c r="M165" s="2228">
        <f t="shared" si="90"/>
        <v>0</v>
      </c>
      <c r="N165" s="2234">
        <f t="shared" si="90"/>
        <v>0</v>
      </c>
      <c r="O165" s="2183"/>
      <c r="P165" s="2183"/>
    </row>
    <row r="166" spans="1:16" s="2172" customFormat="1" ht="14.25" customHeight="1">
      <c r="A166" s="2905"/>
      <c r="B166" s="2908"/>
      <c r="C166" s="2136" t="s">
        <v>2896</v>
      </c>
      <c r="D166" s="2225">
        <v>1</v>
      </c>
      <c r="E166" s="2226"/>
      <c r="F166" s="2227">
        <f t="shared" si="87"/>
        <v>0</v>
      </c>
      <c r="G166" s="2228">
        <f t="shared" ref="G166:N166" si="91">IF(G$88="改修",ROUNDDOWN(G152*G$162*$D166,0),IF(G88="新営",ROUNDDOWN(G152*G$160*$D166,0),0))</f>
        <v>0</v>
      </c>
      <c r="H166" s="2228">
        <f t="shared" si="91"/>
        <v>0</v>
      </c>
      <c r="I166" s="2228">
        <f t="shared" si="91"/>
        <v>0</v>
      </c>
      <c r="J166" s="2228">
        <f>IF(J$88="改修",ROUNDDOWN(J152*J$162*$D166,0),IF(J88="新営",ROUNDDOWN(J152*J$160*$D166,0),0))</f>
        <v>0</v>
      </c>
      <c r="K166" s="2228">
        <f>IF(K$88="改修",ROUNDDOWN(K152*K$162*$D166,0),IF(K88="新営",ROUNDDOWN(K152*K$160*$D166,0),0))</f>
        <v>0</v>
      </c>
      <c r="L166" s="2228">
        <f t="shared" si="91"/>
        <v>0</v>
      </c>
      <c r="M166" s="2228">
        <f t="shared" si="91"/>
        <v>0</v>
      </c>
      <c r="N166" s="2234">
        <f t="shared" si="91"/>
        <v>0</v>
      </c>
      <c r="O166" s="2183"/>
      <c r="P166" s="2183"/>
    </row>
    <row r="167" spans="1:16" s="2172" customFormat="1" ht="14.25" customHeight="1">
      <c r="A167" s="2905"/>
      <c r="B167" s="2908"/>
      <c r="C167" s="2136" t="s">
        <v>2897</v>
      </c>
      <c r="D167" s="2225">
        <v>1</v>
      </c>
      <c r="E167" s="2226"/>
      <c r="F167" s="2227">
        <f t="shared" si="87"/>
        <v>0</v>
      </c>
      <c r="G167" s="2228">
        <f t="shared" ref="G167:N168" si="92">IF(G$88="改修",ROUNDDOWN(G153*G$162*$D167,0),IF(G88="新営",ROUNDDOWN(G153*G$160*$D167,0),0))</f>
        <v>0</v>
      </c>
      <c r="H167" s="2228">
        <f t="shared" si="92"/>
        <v>0</v>
      </c>
      <c r="I167" s="2228">
        <f t="shared" si="92"/>
        <v>0</v>
      </c>
      <c r="J167" s="2228">
        <f>IF(J$88="改修",ROUNDDOWN(J153*J$162*$D167,0),IF(J88="新営",ROUNDDOWN(J153*J$160*$D167,0),0))</f>
        <v>0</v>
      </c>
      <c r="K167" s="2228">
        <f>IF(K$88="改修",ROUNDDOWN(K153*K$162*$D167,0),IF(K88="新営",ROUNDDOWN(K153*K$160*$D167,0),0))</f>
        <v>0</v>
      </c>
      <c r="L167" s="2228">
        <f t="shared" si="92"/>
        <v>0</v>
      </c>
      <c r="M167" s="2228">
        <f t="shared" si="92"/>
        <v>0</v>
      </c>
      <c r="N167" s="2234">
        <f t="shared" si="92"/>
        <v>0</v>
      </c>
      <c r="O167" s="2183"/>
      <c r="P167" s="2183"/>
    </row>
    <row r="168" spans="1:16" s="2172" customFormat="1" ht="14.25" customHeight="1">
      <c r="A168" s="2905"/>
      <c r="B168" s="2236"/>
      <c r="C168" s="2145" t="s">
        <v>2891</v>
      </c>
      <c r="D168" s="2199">
        <v>1</v>
      </c>
      <c r="E168" s="2226"/>
      <c r="F168" s="2194">
        <f t="shared" si="87"/>
        <v>0</v>
      </c>
      <c r="G168" s="2237">
        <f t="shared" si="92"/>
        <v>0</v>
      </c>
      <c r="H168" s="2237">
        <f t="shared" si="92"/>
        <v>0</v>
      </c>
      <c r="I168" s="2237">
        <f t="shared" si="92"/>
        <v>0</v>
      </c>
      <c r="J168" s="2237">
        <f>IF(J$88="改修",ROUNDDOWN(J154*J$162*$D168,0),IF(J89="新営",ROUNDDOWN(J154*J$160*$D168,0),0))</f>
        <v>0</v>
      </c>
      <c r="K168" s="2237">
        <f>IF(K$88="改修",ROUNDDOWN(K154*K$162*$D168,0),IF(K89="新営",ROUNDDOWN(K154*K$160*$D168,0),0))</f>
        <v>0</v>
      </c>
      <c r="L168" s="2237">
        <f t="shared" si="92"/>
        <v>0</v>
      </c>
      <c r="M168" s="2237">
        <f t="shared" si="92"/>
        <v>0</v>
      </c>
      <c r="N168" s="2238">
        <f t="shared" si="92"/>
        <v>0</v>
      </c>
      <c r="O168" s="2183"/>
      <c r="P168" s="2183"/>
    </row>
    <row r="169" spans="1:16" s="2172" customFormat="1" ht="14.25" customHeight="1">
      <c r="A169" s="2905"/>
      <c r="B169" s="2911"/>
      <c r="C169" s="2200" t="s">
        <v>2892</v>
      </c>
      <c r="D169" s="2239">
        <f t="shared" ref="D169:E171" si="93">+D155</f>
        <v>1</v>
      </c>
      <c r="E169" s="2201">
        <f t="shared" si="93"/>
        <v>0</v>
      </c>
      <c r="F169" s="2227">
        <f t="shared" si="87"/>
        <v>0</v>
      </c>
      <c r="G169" s="2228">
        <f>ROUNDDOWN(G155*$E169*$D169,0)</f>
        <v>0</v>
      </c>
      <c r="H169" s="2228">
        <f t="shared" ref="H169:N171" si="94">ROUNDDOWN(H155*$E169*$D169,0)</f>
        <v>0</v>
      </c>
      <c r="I169" s="2228">
        <f t="shared" si="94"/>
        <v>0</v>
      </c>
      <c r="J169" s="2228">
        <f t="shared" si="94"/>
        <v>0</v>
      </c>
      <c r="K169" s="2228">
        <f t="shared" si="94"/>
        <v>0</v>
      </c>
      <c r="L169" s="2228">
        <f t="shared" si="94"/>
        <v>0</v>
      </c>
      <c r="M169" s="2228">
        <f t="shared" si="94"/>
        <v>0</v>
      </c>
      <c r="N169" s="2234">
        <f t="shared" si="94"/>
        <v>0</v>
      </c>
      <c r="O169" s="2183"/>
      <c r="P169" s="2183"/>
    </row>
    <row r="170" spans="1:16" s="2172" customFormat="1" ht="14.25" customHeight="1">
      <c r="A170" s="2905"/>
      <c r="B170" s="2911"/>
      <c r="C170" s="2200" t="s">
        <v>2893</v>
      </c>
      <c r="D170" s="2239">
        <f t="shared" si="93"/>
        <v>1</v>
      </c>
      <c r="E170" s="2201">
        <f t="shared" si="93"/>
        <v>0</v>
      </c>
      <c r="F170" s="2227">
        <f t="shared" si="87"/>
        <v>0</v>
      </c>
      <c r="G170" s="2228">
        <f>ROUNDDOWN(G156*$E170*$D170,0)</f>
        <v>0</v>
      </c>
      <c r="H170" s="2228">
        <f t="shared" si="94"/>
        <v>0</v>
      </c>
      <c r="I170" s="2228">
        <f t="shared" si="94"/>
        <v>0</v>
      </c>
      <c r="J170" s="2228">
        <f t="shared" si="94"/>
        <v>0</v>
      </c>
      <c r="K170" s="2228">
        <f t="shared" si="94"/>
        <v>0</v>
      </c>
      <c r="L170" s="2228">
        <f t="shared" si="94"/>
        <v>0</v>
      </c>
      <c r="M170" s="2228">
        <f t="shared" si="94"/>
        <v>0</v>
      </c>
      <c r="N170" s="2234">
        <f t="shared" si="94"/>
        <v>0</v>
      </c>
      <c r="O170" s="2183"/>
      <c r="P170" s="2183"/>
    </row>
    <row r="171" spans="1:16" s="2172" customFormat="1" ht="14.25" customHeight="1" thickBot="1">
      <c r="A171" s="2906"/>
      <c r="B171" s="2240" t="s">
        <v>2644</v>
      </c>
      <c r="C171" s="2205" t="s">
        <v>2898</v>
      </c>
      <c r="D171" s="2241">
        <f t="shared" si="93"/>
        <v>1</v>
      </c>
      <c r="E171" s="2242">
        <f t="shared" si="93"/>
        <v>0</v>
      </c>
      <c r="F171" s="2227">
        <f t="shared" si="87"/>
        <v>0</v>
      </c>
      <c r="G171" s="2228">
        <f>ROUNDDOWN(G157*$E171*$D171,0)</f>
        <v>0</v>
      </c>
      <c r="H171" s="2228">
        <f t="shared" si="94"/>
        <v>0</v>
      </c>
      <c r="I171" s="2228">
        <f t="shared" si="94"/>
        <v>0</v>
      </c>
      <c r="J171" s="2228">
        <f t="shared" si="94"/>
        <v>0</v>
      </c>
      <c r="K171" s="2228">
        <f t="shared" si="94"/>
        <v>0</v>
      </c>
      <c r="L171" s="2228">
        <f t="shared" si="94"/>
        <v>0</v>
      </c>
      <c r="M171" s="2228">
        <f t="shared" si="94"/>
        <v>0</v>
      </c>
      <c r="N171" s="2234">
        <f t="shared" si="94"/>
        <v>0</v>
      </c>
      <c r="O171" s="2183"/>
      <c r="P171" s="2183"/>
    </row>
    <row r="172" spans="1:16" s="2172" customFormat="1" ht="14.25" customHeight="1" thickTop="1">
      <c r="A172" s="2243"/>
      <c r="B172" s="2244"/>
      <c r="C172" s="2245" t="s">
        <v>2653</v>
      </c>
      <c r="D172" s="2246"/>
      <c r="E172" s="2247"/>
      <c r="F172" s="2248">
        <f t="shared" si="87"/>
        <v>0</v>
      </c>
      <c r="G172" s="2249">
        <f t="shared" ref="G172:N172" si="95">SUM(G163:G171)+G161</f>
        <v>0</v>
      </c>
      <c r="H172" s="2249">
        <f t="shared" si="95"/>
        <v>0</v>
      </c>
      <c r="I172" s="2249">
        <f t="shared" si="95"/>
        <v>0</v>
      </c>
      <c r="J172" s="2249">
        <f>SUM(J163:J171)+J161</f>
        <v>0</v>
      </c>
      <c r="K172" s="2249">
        <f>SUM(K163:K171)+K161</f>
        <v>0</v>
      </c>
      <c r="L172" s="2249">
        <f t="shared" si="95"/>
        <v>0</v>
      </c>
      <c r="M172" s="2249">
        <f t="shared" si="95"/>
        <v>0</v>
      </c>
      <c r="N172" s="2250">
        <f t="shared" si="95"/>
        <v>0</v>
      </c>
      <c r="O172" s="2183"/>
      <c r="P172" s="2183"/>
    </row>
    <row r="173" spans="1:16" ht="15" customHeight="1">
      <c r="A173" s="1753"/>
      <c r="B173" s="2251"/>
      <c r="C173" s="2252"/>
      <c r="D173" s="2253"/>
      <c r="E173" s="1749"/>
      <c r="F173" s="2254"/>
      <c r="G173" s="2255"/>
      <c r="H173" s="2255"/>
      <c r="I173" s="2255"/>
      <c r="J173" s="2255"/>
      <c r="K173" s="2255"/>
      <c r="L173" s="2255"/>
      <c r="M173" s="2255"/>
      <c r="N173" s="2255"/>
    </row>
    <row r="174" spans="1:16" ht="15" customHeight="1">
      <c r="A174" s="1714"/>
      <c r="B174" s="1714"/>
      <c r="C174" s="1974" t="s">
        <v>2899</v>
      </c>
      <c r="D174" s="1974"/>
      <c r="E174" s="1715"/>
      <c r="F174" s="1715"/>
      <c r="G174" s="1724"/>
      <c r="H174" s="1724"/>
      <c r="I174" s="1724"/>
      <c r="J174" s="1724"/>
      <c r="K174" s="1724"/>
      <c r="L174" s="1724"/>
      <c r="M174" s="1724"/>
      <c r="N174" s="1720" t="s">
        <v>2900</v>
      </c>
    </row>
    <row r="175" spans="1:16" ht="15" customHeight="1">
      <c r="A175" s="1714"/>
      <c r="B175" s="1714"/>
      <c r="C175" s="2256" t="s">
        <v>2901</v>
      </c>
      <c r="D175" s="2256"/>
      <c r="E175" s="1715"/>
      <c r="F175" s="1715"/>
      <c r="G175" s="1724"/>
      <c r="H175" s="1724"/>
      <c r="I175" s="1724"/>
      <c r="J175" s="1724"/>
      <c r="K175" s="1724"/>
      <c r="L175" s="1724"/>
      <c r="M175" s="1724"/>
      <c r="N175" s="1975"/>
    </row>
    <row r="176" spans="1:16" ht="15" customHeight="1">
      <c r="A176" s="1725"/>
      <c r="B176" s="1726"/>
      <c r="C176" s="1726"/>
      <c r="D176" s="2896"/>
      <c r="E176" s="2896" t="s">
        <v>2668</v>
      </c>
      <c r="F176" s="2257" t="s">
        <v>2517</v>
      </c>
      <c r="G176" s="2258" t="str">
        <f t="shared" ref="G176:N176" si="96">+G89</f>
        <v>工事１</v>
      </c>
      <c r="H176" s="2258">
        <f t="shared" si="96"/>
        <v>0</v>
      </c>
      <c r="I176" s="2258">
        <f t="shared" si="96"/>
        <v>0</v>
      </c>
      <c r="J176" s="2258">
        <f>+J89</f>
        <v>0</v>
      </c>
      <c r="K176" s="2258">
        <f>+K89</f>
        <v>0</v>
      </c>
      <c r="L176" s="2258">
        <f t="shared" si="96"/>
        <v>0</v>
      </c>
      <c r="M176" s="2258">
        <f t="shared" si="96"/>
        <v>0</v>
      </c>
      <c r="N176" s="2259">
        <f t="shared" si="96"/>
        <v>0</v>
      </c>
    </row>
    <row r="177" spans="1:14" ht="14.25" customHeight="1">
      <c r="A177" s="2898" t="s">
        <v>2657</v>
      </c>
      <c r="B177" s="2899"/>
      <c r="C177" s="2899"/>
      <c r="D177" s="2897"/>
      <c r="E177" s="2897"/>
      <c r="F177" s="2260"/>
      <c r="G177" s="2261"/>
      <c r="H177" s="2261"/>
      <c r="I177" s="2261"/>
      <c r="J177" s="2261"/>
      <c r="K177" s="2261"/>
      <c r="L177" s="2261"/>
      <c r="M177" s="2261"/>
      <c r="N177" s="2262"/>
    </row>
    <row r="178" spans="1:14" ht="15" customHeight="1">
      <c r="A178" s="2263"/>
      <c r="B178" s="2264" t="s">
        <v>2787</v>
      </c>
      <c r="C178" s="2265"/>
      <c r="D178" s="2258"/>
      <c r="E178" s="2266"/>
      <c r="F178" s="2267">
        <f>SUM(G178:N178)</f>
        <v>0</v>
      </c>
      <c r="G178" s="2268">
        <f t="shared" ref="G178:N178" si="97">SUM(G121:G124)</f>
        <v>0</v>
      </c>
      <c r="H178" s="2268">
        <f t="shared" si="97"/>
        <v>0</v>
      </c>
      <c r="I178" s="2268">
        <f t="shared" si="97"/>
        <v>0</v>
      </c>
      <c r="J178" s="2268">
        <f>SUM(J121:J124)</f>
        <v>0</v>
      </c>
      <c r="K178" s="2268">
        <f>SUM(K121:K124)</f>
        <v>0</v>
      </c>
      <c r="L178" s="2268">
        <f t="shared" si="97"/>
        <v>0</v>
      </c>
      <c r="M178" s="2268">
        <f t="shared" si="97"/>
        <v>0</v>
      </c>
      <c r="N178" s="2269">
        <f t="shared" si="97"/>
        <v>0</v>
      </c>
    </row>
    <row r="179" spans="1:14" ht="15" customHeight="1">
      <c r="A179" s="2270"/>
      <c r="B179" s="2882" t="s">
        <v>2740</v>
      </c>
      <c r="C179" s="2070" t="s">
        <v>2542</v>
      </c>
      <c r="D179" s="2258"/>
      <c r="E179" s="2271" t="s">
        <v>2789</v>
      </c>
      <c r="F179" s="2267">
        <f>SUM(G179:N179)</f>
        <v>0</v>
      </c>
      <c r="G179" s="2272">
        <f t="shared" ref="G179:N179" si="98">+G121</f>
        <v>0</v>
      </c>
      <c r="H179" s="2272">
        <f t="shared" si="98"/>
        <v>0</v>
      </c>
      <c r="I179" s="2272">
        <f t="shared" si="98"/>
        <v>0</v>
      </c>
      <c r="J179" s="2272">
        <f>+J121</f>
        <v>0</v>
      </c>
      <c r="K179" s="2272">
        <f>+K121</f>
        <v>0</v>
      </c>
      <c r="L179" s="2272">
        <f t="shared" si="98"/>
        <v>0</v>
      </c>
      <c r="M179" s="2272">
        <f t="shared" si="98"/>
        <v>0</v>
      </c>
      <c r="N179" s="2273">
        <f t="shared" si="98"/>
        <v>0</v>
      </c>
    </row>
    <row r="180" spans="1:14" ht="15" customHeight="1">
      <c r="A180" s="2274"/>
      <c r="B180" s="2883"/>
      <c r="C180" s="2136" t="s">
        <v>2543</v>
      </c>
      <c r="D180" s="2275"/>
      <c r="E180" s="2276" t="s">
        <v>2789</v>
      </c>
      <c r="F180" s="2277">
        <f>SUM(G180:N180)</f>
        <v>0</v>
      </c>
      <c r="G180" s="2146">
        <f t="shared" ref="G180:N181" si="99">G122</f>
        <v>0</v>
      </c>
      <c r="H180" s="2146">
        <f t="shared" si="99"/>
        <v>0</v>
      </c>
      <c r="I180" s="2146">
        <f t="shared" si="99"/>
        <v>0</v>
      </c>
      <c r="J180" s="2146">
        <f>J122</f>
        <v>0</v>
      </c>
      <c r="K180" s="2146">
        <f>K122</f>
        <v>0</v>
      </c>
      <c r="L180" s="2146">
        <f t="shared" si="99"/>
        <v>0</v>
      </c>
      <c r="M180" s="2146">
        <f t="shared" si="99"/>
        <v>0</v>
      </c>
      <c r="N180" s="2147">
        <f t="shared" si="99"/>
        <v>0</v>
      </c>
    </row>
    <row r="181" spans="1:14" ht="15" customHeight="1">
      <c r="A181" s="2274"/>
      <c r="B181" s="2883"/>
      <c r="C181" s="2136" t="s">
        <v>2902</v>
      </c>
      <c r="D181" s="2275"/>
      <c r="E181" s="2276" t="s">
        <v>2789</v>
      </c>
      <c r="F181" s="2277">
        <f>SUM(G181:N181)</f>
        <v>0</v>
      </c>
      <c r="G181" s="2146">
        <f t="shared" si="99"/>
        <v>0</v>
      </c>
      <c r="H181" s="2146">
        <f t="shared" si="99"/>
        <v>0</v>
      </c>
      <c r="I181" s="2146">
        <f t="shared" si="99"/>
        <v>0</v>
      </c>
      <c r="J181" s="2146">
        <f>J123</f>
        <v>0</v>
      </c>
      <c r="K181" s="2146">
        <f>K123</f>
        <v>0</v>
      </c>
      <c r="L181" s="2146">
        <f t="shared" si="99"/>
        <v>0</v>
      </c>
      <c r="M181" s="2146">
        <f t="shared" si="99"/>
        <v>0</v>
      </c>
      <c r="N181" s="2147">
        <f t="shared" si="99"/>
        <v>0</v>
      </c>
    </row>
    <row r="182" spans="1:14" ht="15" customHeight="1">
      <c r="A182" s="2274"/>
      <c r="B182" s="2888"/>
      <c r="C182" s="2278" t="s">
        <v>2866</v>
      </c>
      <c r="D182" s="2275"/>
      <c r="E182" s="2276" t="s">
        <v>2789</v>
      </c>
      <c r="F182" s="2137">
        <f>F172</f>
        <v>0</v>
      </c>
      <c r="G182" s="2137">
        <f t="shared" ref="G182:N182" si="100">G172</f>
        <v>0</v>
      </c>
      <c r="H182" s="2137">
        <f t="shared" si="100"/>
        <v>0</v>
      </c>
      <c r="I182" s="2137">
        <f t="shared" si="100"/>
        <v>0</v>
      </c>
      <c r="J182" s="2137">
        <f>J172</f>
        <v>0</v>
      </c>
      <c r="K182" s="2137">
        <f>K172</f>
        <v>0</v>
      </c>
      <c r="L182" s="2137">
        <f t="shared" si="100"/>
        <v>0</v>
      </c>
      <c r="M182" s="2137">
        <f t="shared" si="100"/>
        <v>0</v>
      </c>
      <c r="N182" s="2138">
        <f t="shared" si="100"/>
        <v>0</v>
      </c>
    </row>
    <row r="183" spans="1:14" ht="15" customHeight="1">
      <c r="A183" s="2274"/>
      <c r="B183" s="2886" t="s">
        <v>2741</v>
      </c>
      <c r="C183" s="2279" t="s">
        <v>2867</v>
      </c>
      <c r="D183" s="2275"/>
      <c r="E183" s="2150">
        <v>0.2</v>
      </c>
      <c r="F183" s="2146">
        <f t="shared" ref="F183:F188" si="101">INT(F125/(1+$E183))</f>
        <v>0</v>
      </c>
      <c r="G183" s="2146">
        <f t="shared" ref="G183:G188" si="102">F183-SUM(H183:N183)</f>
        <v>0</v>
      </c>
      <c r="H183" s="2146">
        <f t="shared" ref="H183:N183" si="103">INT(H125/(1+$E183))</f>
        <v>0</v>
      </c>
      <c r="I183" s="2146">
        <f t="shared" si="103"/>
        <v>0</v>
      </c>
      <c r="J183" s="2146">
        <f t="shared" si="103"/>
        <v>0</v>
      </c>
      <c r="K183" s="2146">
        <f t="shared" si="103"/>
        <v>0</v>
      </c>
      <c r="L183" s="2146">
        <f t="shared" si="103"/>
        <v>0</v>
      </c>
      <c r="M183" s="2146">
        <f t="shared" si="103"/>
        <v>0</v>
      </c>
      <c r="N183" s="2147">
        <f t="shared" si="103"/>
        <v>0</v>
      </c>
    </row>
    <row r="184" spans="1:14" ht="15" customHeight="1">
      <c r="A184" s="2274"/>
      <c r="B184" s="2884"/>
      <c r="C184" s="2136" t="s">
        <v>2903</v>
      </c>
      <c r="D184" s="2275"/>
      <c r="E184" s="2150">
        <v>0.2</v>
      </c>
      <c r="F184" s="2146">
        <f t="shared" si="101"/>
        <v>0</v>
      </c>
      <c r="G184" s="2146">
        <f t="shared" si="102"/>
        <v>0</v>
      </c>
      <c r="H184" s="2146">
        <f t="shared" ref="H184:N188" si="104">IF(H126=0,0,ROUND($F184/$F126*H126,0))</f>
        <v>0</v>
      </c>
      <c r="I184" s="2146">
        <f t="shared" si="104"/>
        <v>0</v>
      </c>
      <c r="J184" s="2146">
        <f t="shared" si="104"/>
        <v>0</v>
      </c>
      <c r="K184" s="2146">
        <f t="shared" si="104"/>
        <v>0</v>
      </c>
      <c r="L184" s="2146">
        <f t="shared" si="104"/>
        <v>0</v>
      </c>
      <c r="M184" s="2146">
        <f t="shared" si="104"/>
        <v>0</v>
      </c>
      <c r="N184" s="2147">
        <f t="shared" si="104"/>
        <v>0</v>
      </c>
    </row>
    <row r="185" spans="1:14" ht="15" customHeight="1">
      <c r="A185" s="2274"/>
      <c r="B185" s="2884"/>
      <c r="C185" s="2144" t="s">
        <v>2904</v>
      </c>
      <c r="D185" s="2275"/>
      <c r="E185" s="2280">
        <f>E151</f>
        <v>0.25</v>
      </c>
      <c r="F185" s="2146">
        <f t="shared" si="101"/>
        <v>0</v>
      </c>
      <c r="G185" s="2146">
        <f t="shared" si="102"/>
        <v>0</v>
      </c>
      <c r="H185" s="2146">
        <f t="shared" si="104"/>
        <v>0</v>
      </c>
      <c r="I185" s="2146">
        <f t="shared" si="104"/>
        <v>0</v>
      </c>
      <c r="J185" s="2146">
        <f t="shared" si="104"/>
        <v>0</v>
      </c>
      <c r="K185" s="2146">
        <f t="shared" si="104"/>
        <v>0</v>
      </c>
      <c r="L185" s="2146">
        <f t="shared" si="104"/>
        <v>0</v>
      </c>
      <c r="M185" s="2146">
        <f t="shared" si="104"/>
        <v>0</v>
      </c>
      <c r="N185" s="2147">
        <f t="shared" si="104"/>
        <v>0</v>
      </c>
    </row>
    <row r="186" spans="1:14" ht="15" customHeight="1">
      <c r="A186" s="2274"/>
      <c r="B186" s="2884"/>
      <c r="C186" s="2136" t="s">
        <v>2889</v>
      </c>
      <c r="D186" s="2275"/>
      <c r="E186" s="2150">
        <v>0.2</v>
      </c>
      <c r="F186" s="2146">
        <f t="shared" si="101"/>
        <v>0</v>
      </c>
      <c r="G186" s="2146">
        <f t="shared" si="102"/>
        <v>0</v>
      </c>
      <c r="H186" s="2146">
        <f t="shared" si="104"/>
        <v>0</v>
      </c>
      <c r="I186" s="2146">
        <f t="shared" si="104"/>
        <v>0</v>
      </c>
      <c r="J186" s="2146">
        <f t="shared" si="104"/>
        <v>0</v>
      </c>
      <c r="K186" s="2146">
        <f t="shared" si="104"/>
        <v>0</v>
      </c>
      <c r="L186" s="2146">
        <f t="shared" si="104"/>
        <v>0</v>
      </c>
      <c r="M186" s="2146">
        <f t="shared" si="104"/>
        <v>0</v>
      </c>
      <c r="N186" s="2147">
        <f t="shared" si="104"/>
        <v>0</v>
      </c>
    </row>
    <row r="187" spans="1:14" ht="15" customHeight="1">
      <c r="A187" s="2274"/>
      <c r="B187" s="2884"/>
      <c r="C187" s="2136" t="s">
        <v>2905</v>
      </c>
      <c r="D187" s="2275"/>
      <c r="E187" s="2150">
        <v>0.2</v>
      </c>
      <c r="F187" s="2146">
        <f t="shared" si="101"/>
        <v>0</v>
      </c>
      <c r="G187" s="2146">
        <f t="shared" si="102"/>
        <v>0</v>
      </c>
      <c r="H187" s="2146">
        <f t="shared" si="104"/>
        <v>0</v>
      </c>
      <c r="I187" s="2146">
        <f t="shared" si="104"/>
        <v>0</v>
      </c>
      <c r="J187" s="2146">
        <f t="shared" si="104"/>
        <v>0</v>
      </c>
      <c r="K187" s="2146">
        <f t="shared" si="104"/>
        <v>0</v>
      </c>
      <c r="L187" s="2146">
        <f t="shared" si="104"/>
        <v>0</v>
      </c>
      <c r="M187" s="2146">
        <f t="shared" si="104"/>
        <v>0</v>
      </c>
      <c r="N187" s="2147">
        <f t="shared" si="104"/>
        <v>0</v>
      </c>
    </row>
    <row r="188" spans="1:14" ht="15" customHeight="1">
      <c r="A188" s="2274"/>
      <c r="B188" s="2884"/>
      <c r="C188" s="2136" t="s">
        <v>2891</v>
      </c>
      <c r="D188" s="2275"/>
      <c r="E188" s="2150">
        <v>0.2</v>
      </c>
      <c r="F188" s="2146">
        <f t="shared" si="101"/>
        <v>0</v>
      </c>
      <c r="G188" s="2146">
        <f t="shared" si="102"/>
        <v>0</v>
      </c>
      <c r="H188" s="2146">
        <f t="shared" si="104"/>
        <v>0</v>
      </c>
      <c r="I188" s="2146">
        <f t="shared" si="104"/>
        <v>0</v>
      </c>
      <c r="J188" s="2146">
        <f t="shared" si="104"/>
        <v>0</v>
      </c>
      <c r="K188" s="2146">
        <f t="shared" si="104"/>
        <v>0</v>
      </c>
      <c r="L188" s="2146">
        <f t="shared" si="104"/>
        <v>0</v>
      </c>
      <c r="M188" s="2146">
        <f t="shared" si="104"/>
        <v>0</v>
      </c>
      <c r="N188" s="2147">
        <f t="shared" si="104"/>
        <v>0</v>
      </c>
    </row>
    <row r="189" spans="1:14" ht="15" customHeight="1">
      <c r="A189" s="2274"/>
      <c r="B189" s="2884"/>
      <c r="C189" s="2136"/>
      <c r="D189" s="2275"/>
      <c r="E189" s="2150"/>
      <c r="F189" s="2277"/>
      <c r="G189" s="2146"/>
      <c r="H189" s="2146"/>
      <c r="I189" s="2146"/>
      <c r="J189" s="2146"/>
      <c r="K189" s="2146"/>
      <c r="L189" s="2146"/>
      <c r="M189" s="2146"/>
      <c r="N189" s="2147"/>
    </row>
    <row r="190" spans="1:14" ht="15" customHeight="1">
      <c r="A190" s="2274"/>
      <c r="B190" s="2887"/>
      <c r="C190" s="2136"/>
      <c r="D190" s="2275"/>
      <c r="E190" s="2150"/>
      <c r="F190" s="2277"/>
      <c r="G190" s="2146"/>
      <c r="H190" s="2146"/>
      <c r="I190" s="2146"/>
      <c r="J190" s="2146"/>
      <c r="K190" s="2146"/>
      <c r="L190" s="2146"/>
      <c r="M190" s="2146"/>
      <c r="N190" s="2147"/>
    </row>
    <row r="191" spans="1:14" ht="15" customHeight="1">
      <c r="A191" s="2274"/>
      <c r="B191" s="2886" t="s">
        <v>477</v>
      </c>
      <c r="C191" s="2136" t="s">
        <v>2906</v>
      </c>
      <c r="D191" s="2275"/>
      <c r="E191" s="2150">
        <v>0.02</v>
      </c>
      <c r="F191" s="2277">
        <f>SUM(G191:N191)</f>
        <v>0</v>
      </c>
      <c r="G191" s="2146">
        <f>+G133</f>
        <v>0</v>
      </c>
      <c r="H191" s="2146">
        <f t="shared" ref="H191:N193" si="105">+H133</f>
        <v>0</v>
      </c>
      <c r="I191" s="2146">
        <f t="shared" si="105"/>
        <v>0</v>
      </c>
      <c r="J191" s="2146">
        <f t="shared" si="105"/>
        <v>0</v>
      </c>
      <c r="K191" s="2146">
        <f t="shared" si="105"/>
        <v>0</v>
      </c>
      <c r="L191" s="2146">
        <f t="shared" si="105"/>
        <v>0</v>
      </c>
      <c r="M191" s="2146">
        <f t="shared" si="105"/>
        <v>0</v>
      </c>
      <c r="N191" s="2147">
        <f t="shared" si="105"/>
        <v>0</v>
      </c>
    </row>
    <row r="192" spans="1:14" ht="15" customHeight="1">
      <c r="A192" s="2274"/>
      <c r="B192" s="2883"/>
      <c r="C192" s="2152" t="s">
        <v>2907</v>
      </c>
      <c r="D192" s="2275"/>
      <c r="E192" s="2150">
        <v>0.02</v>
      </c>
      <c r="F192" s="2277">
        <f>SUM(G192:N192)</f>
        <v>0</v>
      </c>
      <c r="G192" s="2146">
        <f>+G134</f>
        <v>0</v>
      </c>
      <c r="H192" s="2146">
        <f t="shared" si="105"/>
        <v>0</v>
      </c>
      <c r="I192" s="2146">
        <f t="shared" si="105"/>
        <v>0</v>
      </c>
      <c r="J192" s="2146">
        <f t="shared" si="105"/>
        <v>0</v>
      </c>
      <c r="K192" s="2146">
        <f t="shared" si="105"/>
        <v>0</v>
      </c>
      <c r="L192" s="2146">
        <f t="shared" si="105"/>
        <v>0</v>
      </c>
      <c r="M192" s="2146">
        <f t="shared" si="105"/>
        <v>0</v>
      </c>
      <c r="N192" s="2147">
        <f t="shared" si="105"/>
        <v>0</v>
      </c>
    </row>
    <row r="193" spans="1:14" ht="15" customHeight="1">
      <c r="A193" s="2274"/>
      <c r="B193" s="2888"/>
      <c r="C193" s="2152" t="s">
        <v>2908</v>
      </c>
      <c r="D193" s="2275"/>
      <c r="E193" s="2150">
        <v>0.02</v>
      </c>
      <c r="F193" s="2277">
        <f>SUM(G193:N193)</f>
        <v>0</v>
      </c>
      <c r="G193" s="2146">
        <f>+G135</f>
        <v>0</v>
      </c>
      <c r="H193" s="2146">
        <f t="shared" si="105"/>
        <v>0</v>
      </c>
      <c r="I193" s="2146">
        <f t="shared" si="105"/>
        <v>0</v>
      </c>
      <c r="J193" s="2146">
        <f t="shared" si="105"/>
        <v>0</v>
      </c>
      <c r="K193" s="2146">
        <f t="shared" si="105"/>
        <v>0</v>
      </c>
      <c r="L193" s="2146">
        <f t="shared" si="105"/>
        <v>0</v>
      </c>
      <c r="M193" s="2146">
        <f t="shared" si="105"/>
        <v>0</v>
      </c>
      <c r="N193" s="2147">
        <f t="shared" si="105"/>
        <v>0</v>
      </c>
    </row>
    <row r="194" spans="1:14" ht="15" customHeight="1">
      <c r="A194" s="2281"/>
      <c r="B194" s="2282" t="s">
        <v>2644</v>
      </c>
      <c r="C194" s="2283" t="s">
        <v>2909</v>
      </c>
      <c r="D194" s="2284"/>
      <c r="E194" s="2285">
        <v>0</v>
      </c>
      <c r="F194" s="2286">
        <f>SUM(G194:N194)</f>
        <v>0</v>
      </c>
      <c r="G194" s="2287">
        <f t="shared" ref="G194:N194" si="106">SUM(G136:G142)</f>
        <v>0</v>
      </c>
      <c r="H194" s="2287">
        <f t="shared" si="106"/>
        <v>0</v>
      </c>
      <c r="I194" s="2287">
        <f t="shared" si="106"/>
        <v>0</v>
      </c>
      <c r="J194" s="2287">
        <f>SUM(J136:J142)</f>
        <v>0</v>
      </c>
      <c r="K194" s="2287">
        <f>SUM(K136:K142)</f>
        <v>0</v>
      </c>
      <c r="L194" s="2287">
        <f t="shared" si="106"/>
        <v>0</v>
      </c>
      <c r="M194" s="2287">
        <f t="shared" si="106"/>
        <v>0</v>
      </c>
      <c r="N194" s="2288">
        <f t="shared" si="106"/>
        <v>0</v>
      </c>
    </row>
    <row r="195" spans="1:14" ht="15" customHeight="1">
      <c r="A195" s="2289" t="s">
        <v>2564</v>
      </c>
      <c r="B195" s="2290"/>
      <c r="C195" s="2290"/>
      <c r="D195" s="2291"/>
      <c r="E195" s="2292" t="s">
        <v>2799</v>
      </c>
      <c r="F195" s="2293"/>
      <c r="G195" s="2294"/>
      <c r="H195" s="2294"/>
      <c r="I195" s="2294"/>
      <c r="J195" s="2294"/>
      <c r="K195" s="2294"/>
      <c r="L195" s="2294"/>
      <c r="M195" s="2294"/>
      <c r="N195" s="2295"/>
    </row>
    <row r="196" spans="1:14" ht="15" customHeight="1">
      <c r="A196" s="2270"/>
      <c r="B196" s="2882" t="s">
        <v>2740</v>
      </c>
      <c r="C196" s="2296" t="s">
        <v>2542</v>
      </c>
      <c r="D196" s="2297"/>
      <c r="E196" s="2298" t="s">
        <v>2885</v>
      </c>
      <c r="F196" s="2299" t="s">
        <v>2801</v>
      </c>
      <c r="G196" s="2300">
        <f t="shared" ref="G196:N196" si="107">IF(G179=0,0,+G282/100)</f>
        <v>0</v>
      </c>
      <c r="H196" s="2300">
        <f t="shared" si="107"/>
        <v>0</v>
      </c>
      <c r="I196" s="2300">
        <f t="shared" si="107"/>
        <v>0</v>
      </c>
      <c r="J196" s="2300">
        <f>IF(J179=0,0,+J282/100)</f>
        <v>0</v>
      </c>
      <c r="K196" s="2300">
        <f>IF(K179=0,0,+K282/100)</f>
        <v>0</v>
      </c>
      <c r="L196" s="2300">
        <f t="shared" si="107"/>
        <v>0</v>
      </c>
      <c r="M196" s="2300">
        <f t="shared" si="107"/>
        <v>0</v>
      </c>
      <c r="N196" s="2301">
        <f t="shared" si="107"/>
        <v>0</v>
      </c>
    </row>
    <row r="197" spans="1:14" ht="15" customHeight="1">
      <c r="A197" s="2274"/>
      <c r="B197" s="2883"/>
      <c r="C197" s="2302"/>
      <c r="D197" s="2303">
        <v>1</v>
      </c>
      <c r="E197" s="2304" t="s">
        <v>2885</v>
      </c>
      <c r="F197" s="2046">
        <f>SUM(G197:N197)</f>
        <v>0</v>
      </c>
      <c r="G197" s="2305">
        <f t="shared" ref="G197:N197" si="108">ROUNDDOWN(G179*G196*$D197,0)</f>
        <v>0</v>
      </c>
      <c r="H197" s="2305">
        <f t="shared" si="108"/>
        <v>0</v>
      </c>
      <c r="I197" s="2305">
        <f t="shared" si="108"/>
        <v>0</v>
      </c>
      <c r="J197" s="2305">
        <f>ROUNDDOWN(J179*J196*$D197,0)</f>
        <v>0</v>
      </c>
      <c r="K197" s="2305">
        <f>ROUNDDOWN(K179*K196*$D197,0)</f>
        <v>0</v>
      </c>
      <c r="L197" s="2305">
        <f t="shared" si="108"/>
        <v>0</v>
      </c>
      <c r="M197" s="2305">
        <f t="shared" si="108"/>
        <v>0</v>
      </c>
      <c r="N197" s="2306">
        <f t="shared" si="108"/>
        <v>0</v>
      </c>
    </row>
    <row r="198" spans="1:14" ht="15" customHeight="1">
      <c r="A198" s="2274"/>
      <c r="B198" s="2883"/>
      <c r="C198" s="2307" t="s">
        <v>2543</v>
      </c>
      <c r="D198" s="2051"/>
      <c r="E198" s="2304" t="s">
        <v>2802</v>
      </c>
      <c r="F198" s="2308" t="s">
        <v>2910</v>
      </c>
      <c r="G198" s="2309">
        <f t="shared" ref="G198:N198" si="109">IF(G180=0,0,+G290/100)</f>
        <v>0</v>
      </c>
      <c r="H198" s="2309">
        <f t="shared" si="109"/>
        <v>0</v>
      </c>
      <c r="I198" s="2309">
        <f t="shared" si="109"/>
        <v>0</v>
      </c>
      <c r="J198" s="2309">
        <f>IF(J180=0,0,+J290/100)</f>
        <v>0</v>
      </c>
      <c r="K198" s="2309">
        <f>IF(K180=0,0,+K290/100)</f>
        <v>0</v>
      </c>
      <c r="L198" s="2309">
        <f t="shared" si="109"/>
        <v>0</v>
      </c>
      <c r="M198" s="2309">
        <f t="shared" si="109"/>
        <v>0</v>
      </c>
      <c r="N198" s="2310">
        <f t="shared" si="109"/>
        <v>0</v>
      </c>
    </row>
    <row r="199" spans="1:14" ht="15" customHeight="1">
      <c r="A199" s="2274"/>
      <c r="B199" s="2884"/>
      <c r="C199" s="2302"/>
      <c r="D199" s="2303">
        <v>1</v>
      </c>
      <c r="E199" s="2304" t="s">
        <v>2802</v>
      </c>
      <c r="F199" s="2046">
        <f>SUM(G199:N199)</f>
        <v>0</v>
      </c>
      <c r="G199" s="2305">
        <f t="shared" ref="G199:N199" si="110">IF(G88="改修",ROUNDDOWN(G180*G198*$D199,0),0)</f>
        <v>0</v>
      </c>
      <c r="H199" s="2305">
        <f t="shared" si="110"/>
        <v>0</v>
      </c>
      <c r="I199" s="2305">
        <f t="shared" si="110"/>
        <v>0</v>
      </c>
      <c r="J199" s="2305">
        <f>IF(J88="改修",ROUNDDOWN(J180*J198*$D199,0),0)</f>
        <v>0</v>
      </c>
      <c r="K199" s="2305">
        <f>IF(K88="改修",ROUNDDOWN(K180*K198*$D199,0),0)</f>
        <v>0</v>
      </c>
      <c r="L199" s="2305">
        <f t="shared" si="110"/>
        <v>0</v>
      </c>
      <c r="M199" s="2305">
        <f t="shared" si="110"/>
        <v>0</v>
      </c>
      <c r="N199" s="2306">
        <f t="shared" si="110"/>
        <v>0</v>
      </c>
    </row>
    <row r="200" spans="1:14" ht="15" customHeight="1">
      <c r="A200" s="2274"/>
      <c r="B200" s="2884"/>
      <c r="C200" s="2311" t="s">
        <v>2911</v>
      </c>
      <c r="D200" s="2312"/>
      <c r="E200" s="2313"/>
      <c r="F200" s="2314" t="s">
        <v>2910</v>
      </c>
      <c r="G200" s="2315">
        <f t="shared" ref="G200:N200" si="111">IF(G182=0,0,IF(G88="改修",G290/100,G282/100))</f>
        <v>0</v>
      </c>
      <c r="H200" s="2315">
        <f t="shared" si="111"/>
        <v>0</v>
      </c>
      <c r="I200" s="2315">
        <f t="shared" si="111"/>
        <v>0</v>
      </c>
      <c r="J200" s="2315">
        <f>IF(J182=0,0,IF(J88="改修",J290/100,J282/100))</f>
        <v>0</v>
      </c>
      <c r="K200" s="2315">
        <f>IF(K182=0,0,IF(K88="改修",K290/100,K282/100))</f>
        <v>0</v>
      </c>
      <c r="L200" s="2315">
        <f t="shared" si="111"/>
        <v>0</v>
      </c>
      <c r="M200" s="2315">
        <f t="shared" si="111"/>
        <v>0</v>
      </c>
      <c r="N200" s="2316">
        <f t="shared" si="111"/>
        <v>0</v>
      </c>
    </row>
    <row r="201" spans="1:14" ht="15" customHeight="1">
      <c r="A201" s="2274"/>
      <c r="B201" s="2884"/>
      <c r="C201" s="2317" t="s">
        <v>2912</v>
      </c>
      <c r="D201" s="2318"/>
      <c r="E201" s="2313"/>
      <c r="F201" s="2314"/>
      <c r="G201" s="2131">
        <f t="shared" ref="G201:N201" si="112">ROUND(G181*G200,0)</f>
        <v>0</v>
      </c>
      <c r="H201" s="2131">
        <f t="shared" si="112"/>
        <v>0</v>
      </c>
      <c r="I201" s="2131">
        <f t="shared" si="112"/>
        <v>0</v>
      </c>
      <c r="J201" s="2131">
        <f>ROUND(J181*J200,0)</f>
        <v>0</v>
      </c>
      <c r="K201" s="2131">
        <f>ROUND(K181*K200,0)</f>
        <v>0</v>
      </c>
      <c r="L201" s="2131">
        <f t="shared" si="112"/>
        <v>0</v>
      </c>
      <c r="M201" s="2131">
        <f t="shared" si="112"/>
        <v>0</v>
      </c>
      <c r="N201" s="2132">
        <f t="shared" si="112"/>
        <v>0</v>
      </c>
    </row>
    <row r="202" spans="1:14" ht="15" customHeight="1">
      <c r="A202" s="2274"/>
      <c r="B202" s="2885"/>
      <c r="C202" s="2319" t="s">
        <v>2913</v>
      </c>
      <c r="D202" s="2320"/>
      <c r="E202" s="2321"/>
      <c r="F202" s="2322">
        <f>SUM(G202:N202)</f>
        <v>0</v>
      </c>
      <c r="G202" s="2139">
        <f t="shared" ref="G202:N202" si="113">ROUND(G182*G200,0)</f>
        <v>0</v>
      </c>
      <c r="H202" s="2139">
        <f t="shared" si="113"/>
        <v>0</v>
      </c>
      <c r="I202" s="2139">
        <f t="shared" si="113"/>
        <v>0</v>
      </c>
      <c r="J202" s="2139">
        <f>ROUND(J182*J200,0)</f>
        <v>0</v>
      </c>
      <c r="K202" s="2139">
        <f>ROUND(K182*K200,0)</f>
        <v>0</v>
      </c>
      <c r="L202" s="2139">
        <f t="shared" si="113"/>
        <v>0</v>
      </c>
      <c r="M202" s="2139">
        <f t="shared" si="113"/>
        <v>0</v>
      </c>
      <c r="N202" s="2140">
        <f t="shared" si="113"/>
        <v>0</v>
      </c>
    </row>
    <row r="203" spans="1:14" ht="15" customHeight="1">
      <c r="A203" s="2274"/>
      <c r="B203" s="2886" t="s">
        <v>2741</v>
      </c>
      <c r="C203" s="2136" t="str">
        <f>+C183</f>
        <v>(4-2)積上げ共通仮設工事※警備員費・率除外項目除く</v>
      </c>
      <c r="D203" s="2323"/>
      <c r="E203" s="2150">
        <f t="shared" ref="E203:E208" si="114">+E183</f>
        <v>0.2</v>
      </c>
      <c r="F203" s="2046">
        <f t="shared" ref="F203:F208" si="115">INT((F125-F183)*0.5)</f>
        <v>0</v>
      </c>
      <c r="G203" s="2146">
        <f t="shared" ref="G203:G208" si="116">F203-SUM(H203:N203)</f>
        <v>0</v>
      </c>
      <c r="H203" s="2146">
        <f t="shared" ref="H203:N208" si="117">IF(H183=0,0,ROUND($F203/$F183*H183,0))</f>
        <v>0</v>
      </c>
      <c r="I203" s="2146">
        <f t="shared" si="117"/>
        <v>0</v>
      </c>
      <c r="J203" s="2146">
        <f t="shared" si="117"/>
        <v>0</v>
      </c>
      <c r="K203" s="2146">
        <f t="shared" si="117"/>
        <v>0</v>
      </c>
      <c r="L203" s="2146">
        <f t="shared" si="117"/>
        <v>0</v>
      </c>
      <c r="M203" s="2146">
        <f t="shared" si="117"/>
        <v>0</v>
      </c>
      <c r="N203" s="2147">
        <f t="shared" si="117"/>
        <v>0</v>
      </c>
    </row>
    <row r="204" spans="1:14" ht="15" customHeight="1">
      <c r="A204" s="2274"/>
      <c r="B204" s="2884"/>
      <c r="C204" s="2136" t="str">
        <f>+C184</f>
        <v>(5)直接仮設工事</v>
      </c>
      <c r="D204" s="2323"/>
      <c r="E204" s="2150">
        <f t="shared" si="114"/>
        <v>0.2</v>
      </c>
      <c r="F204" s="2046">
        <f t="shared" si="115"/>
        <v>0</v>
      </c>
      <c r="G204" s="2146">
        <f t="shared" si="116"/>
        <v>0</v>
      </c>
      <c r="H204" s="2146">
        <f t="shared" si="117"/>
        <v>0</v>
      </c>
      <c r="I204" s="2146">
        <f t="shared" si="117"/>
        <v>0</v>
      </c>
      <c r="J204" s="2146">
        <f t="shared" si="117"/>
        <v>0</v>
      </c>
      <c r="K204" s="2146">
        <f t="shared" si="117"/>
        <v>0</v>
      </c>
      <c r="L204" s="2146">
        <f t="shared" si="117"/>
        <v>0</v>
      </c>
      <c r="M204" s="2146">
        <f t="shared" si="117"/>
        <v>0</v>
      </c>
      <c r="N204" s="2147">
        <f t="shared" si="117"/>
        <v>0</v>
      </c>
    </row>
    <row r="205" spans="1:14" ht="15" customHeight="1">
      <c r="A205" s="2274"/>
      <c r="B205" s="2884"/>
      <c r="C205" s="2144" t="str">
        <f>C185</f>
        <v>(6)建具工事</v>
      </c>
      <c r="D205" s="2323"/>
      <c r="E205" s="2324">
        <f t="shared" si="114"/>
        <v>0.25</v>
      </c>
      <c r="F205" s="2046">
        <f t="shared" si="115"/>
        <v>0</v>
      </c>
      <c r="G205" s="2146">
        <f t="shared" si="116"/>
        <v>0</v>
      </c>
      <c r="H205" s="2146">
        <f t="shared" si="117"/>
        <v>0</v>
      </c>
      <c r="I205" s="2146">
        <f t="shared" si="117"/>
        <v>0</v>
      </c>
      <c r="J205" s="2146">
        <f t="shared" si="117"/>
        <v>0</v>
      </c>
      <c r="K205" s="2146">
        <f t="shared" si="117"/>
        <v>0</v>
      </c>
      <c r="L205" s="2146">
        <f t="shared" si="117"/>
        <v>0</v>
      </c>
      <c r="M205" s="2146">
        <f t="shared" si="117"/>
        <v>0</v>
      </c>
      <c r="N205" s="2147">
        <f t="shared" si="117"/>
        <v>0</v>
      </c>
    </row>
    <row r="206" spans="1:14" ht="15" customHeight="1">
      <c r="A206" s="2274"/>
      <c r="B206" s="2884"/>
      <c r="C206" s="2136" t="str">
        <f>+C186</f>
        <v>(7)場内小運搬費</v>
      </c>
      <c r="D206" s="2323"/>
      <c r="E206" s="2150">
        <f t="shared" si="114"/>
        <v>0.2</v>
      </c>
      <c r="F206" s="2046">
        <f t="shared" si="115"/>
        <v>0</v>
      </c>
      <c r="G206" s="2146">
        <f t="shared" si="116"/>
        <v>0</v>
      </c>
      <c r="H206" s="2146">
        <f t="shared" si="117"/>
        <v>0</v>
      </c>
      <c r="I206" s="2146">
        <f t="shared" si="117"/>
        <v>0</v>
      </c>
      <c r="J206" s="2146">
        <f t="shared" si="117"/>
        <v>0</v>
      </c>
      <c r="K206" s="2146">
        <f t="shared" si="117"/>
        <v>0</v>
      </c>
      <c r="L206" s="2146">
        <f t="shared" si="117"/>
        <v>0</v>
      </c>
      <c r="M206" s="2146">
        <f t="shared" si="117"/>
        <v>0</v>
      </c>
      <c r="N206" s="2147">
        <f t="shared" si="117"/>
        <v>0</v>
      </c>
    </row>
    <row r="207" spans="1:14" ht="15" customHeight="1">
      <c r="A207" s="2274"/>
      <c r="B207" s="2884"/>
      <c r="C207" s="2136" t="str">
        <f>+C187</f>
        <v>(8)〃人力積込み費</v>
      </c>
      <c r="D207" s="2323"/>
      <c r="E207" s="2150">
        <f t="shared" si="114"/>
        <v>0.2</v>
      </c>
      <c r="F207" s="2046">
        <f t="shared" si="115"/>
        <v>0</v>
      </c>
      <c r="G207" s="2146">
        <f t="shared" si="116"/>
        <v>0</v>
      </c>
      <c r="H207" s="2146">
        <f t="shared" si="117"/>
        <v>0</v>
      </c>
      <c r="I207" s="2146">
        <f t="shared" si="117"/>
        <v>0</v>
      </c>
      <c r="J207" s="2146">
        <f t="shared" si="117"/>
        <v>0</v>
      </c>
      <c r="K207" s="2146">
        <f t="shared" si="117"/>
        <v>0</v>
      </c>
      <c r="L207" s="2146">
        <f t="shared" si="117"/>
        <v>0</v>
      </c>
      <c r="M207" s="2146">
        <f t="shared" si="117"/>
        <v>0</v>
      </c>
      <c r="N207" s="2325">
        <f t="shared" si="117"/>
        <v>0</v>
      </c>
    </row>
    <row r="208" spans="1:14" ht="15" customHeight="1">
      <c r="A208" s="2274"/>
      <c r="B208" s="2884"/>
      <c r="C208" s="2136" t="str">
        <f>+C188</f>
        <v>(9)〃搬出準備費</v>
      </c>
      <c r="D208" s="2323"/>
      <c r="E208" s="2150">
        <f t="shared" si="114"/>
        <v>0.2</v>
      </c>
      <c r="F208" s="2046">
        <f t="shared" si="115"/>
        <v>0</v>
      </c>
      <c r="G208" s="2146">
        <f t="shared" si="116"/>
        <v>0</v>
      </c>
      <c r="H208" s="2146">
        <f t="shared" si="117"/>
        <v>0</v>
      </c>
      <c r="I208" s="2146">
        <f t="shared" si="117"/>
        <v>0</v>
      </c>
      <c r="J208" s="2146">
        <f t="shared" si="117"/>
        <v>0</v>
      </c>
      <c r="K208" s="2146">
        <f t="shared" si="117"/>
        <v>0</v>
      </c>
      <c r="L208" s="2146">
        <f t="shared" si="117"/>
        <v>0</v>
      </c>
      <c r="M208" s="2146">
        <f t="shared" si="117"/>
        <v>0</v>
      </c>
      <c r="N208" s="2325">
        <f t="shared" si="117"/>
        <v>0</v>
      </c>
    </row>
    <row r="209" spans="1:14" ht="15" customHeight="1">
      <c r="A209" s="2274"/>
      <c r="B209" s="2884"/>
      <c r="C209" s="2136"/>
      <c r="D209" s="2323"/>
      <c r="E209" s="2326"/>
      <c r="F209" s="2046"/>
      <c r="G209" s="2146"/>
      <c r="H209" s="2146"/>
      <c r="I209" s="2146"/>
      <c r="J209" s="2146"/>
      <c r="K209" s="2146"/>
      <c r="L209" s="2146"/>
      <c r="M209" s="2146"/>
      <c r="N209" s="2147"/>
    </row>
    <row r="210" spans="1:14" ht="15" customHeight="1">
      <c r="A210" s="2274"/>
      <c r="B210" s="2887"/>
      <c r="C210" s="2136"/>
      <c r="D210" s="2323"/>
      <c r="E210" s="2150"/>
      <c r="F210" s="2046"/>
      <c r="G210" s="2146"/>
      <c r="H210" s="2146"/>
      <c r="I210" s="2146"/>
      <c r="J210" s="2146"/>
      <c r="K210" s="2146"/>
      <c r="L210" s="2146"/>
      <c r="M210" s="2146"/>
      <c r="N210" s="2147"/>
    </row>
    <row r="211" spans="1:14" ht="15" customHeight="1">
      <c r="A211" s="2274"/>
      <c r="B211" s="2886" t="s">
        <v>477</v>
      </c>
      <c r="C211" s="2136" t="s">
        <v>2906</v>
      </c>
      <c r="D211" s="2323"/>
      <c r="E211" s="2150">
        <f>+E191</f>
        <v>0.02</v>
      </c>
      <c r="F211" s="2046">
        <f>INT(F191*E211)</f>
        <v>0</v>
      </c>
      <c r="G211" s="2146">
        <f>F211-SUM(H211:N211)</f>
        <v>0</v>
      </c>
      <c r="H211" s="2146">
        <f t="shared" ref="H211:N213" si="118">IF(H191=0,0,ROUND($F211/$F191*H191,0))</f>
        <v>0</v>
      </c>
      <c r="I211" s="2146">
        <f t="shared" si="118"/>
        <v>0</v>
      </c>
      <c r="J211" s="2146">
        <f t="shared" si="118"/>
        <v>0</v>
      </c>
      <c r="K211" s="2146">
        <f t="shared" si="118"/>
        <v>0</v>
      </c>
      <c r="L211" s="2146">
        <f t="shared" si="118"/>
        <v>0</v>
      </c>
      <c r="M211" s="2146">
        <f t="shared" si="118"/>
        <v>0</v>
      </c>
      <c r="N211" s="2325">
        <f t="shared" si="118"/>
        <v>0</v>
      </c>
    </row>
    <row r="212" spans="1:14" ht="15" customHeight="1">
      <c r="A212" s="2274"/>
      <c r="B212" s="2883"/>
      <c r="C212" s="2152" t="s">
        <v>2914</v>
      </c>
      <c r="D212" s="2323"/>
      <c r="E212" s="2150">
        <f>+E192</f>
        <v>0.02</v>
      </c>
      <c r="F212" s="2046">
        <f>INT(F192*E212)</f>
        <v>0</v>
      </c>
      <c r="G212" s="2146">
        <f>F212-SUM(H212:N212)</f>
        <v>0</v>
      </c>
      <c r="H212" s="2146">
        <f t="shared" si="118"/>
        <v>0</v>
      </c>
      <c r="I212" s="2146">
        <f t="shared" si="118"/>
        <v>0</v>
      </c>
      <c r="J212" s="2146">
        <f t="shared" si="118"/>
        <v>0</v>
      </c>
      <c r="K212" s="2146">
        <f t="shared" si="118"/>
        <v>0</v>
      </c>
      <c r="L212" s="2146">
        <f t="shared" si="118"/>
        <v>0</v>
      </c>
      <c r="M212" s="2146">
        <f t="shared" si="118"/>
        <v>0</v>
      </c>
      <c r="N212" s="2325">
        <f t="shared" si="118"/>
        <v>0</v>
      </c>
    </row>
    <row r="213" spans="1:14" ht="14.25" customHeight="1">
      <c r="A213" s="2274"/>
      <c r="B213" s="2888"/>
      <c r="C213" s="2152" t="s">
        <v>2915</v>
      </c>
      <c r="D213" s="2323"/>
      <c r="E213" s="2150">
        <f>+E193</f>
        <v>0.02</v>
      </c>
      <c r="F213" s="2046">
        <f>INT(F193*E213)</f>
        <v>0</v>
      </c>
      <c r="G213" s="2146">
        <f>F213-SUM(H213:N213)</f>
        <v>0</v>
      </c>
      <c r="H213" s="2146">
        <f t="shared" si="118"/>
        <v>0</v>
      </c>
      <c r="I213" s="2146">
        <f t="shared" si="118"/>
        <v>0</v>
      </c>
      <c r="J213" s="2146">
        <f t="shared" si="118"/>
        <v>0</v>
      </c>
      <c r="K213" s="2146">
        <f t="shared" si="118"/>
        <v>0</v>
      </c>
      <c r="L213" s="2146">
        <f t="shared" si="118"/>
        <v>0</v>
      </c>
      <c r="M213" s="2146">
        <f t="shared" si="118"/>
        <v>0</v>
      </c>
      <c r="N213" s="2325">
        <f t="shared" si="118"/>
        <v>0</v>
      </c>
    </row>
    <row r="214" spans="1:14" ht="14.25" customHeight="1">
      <c r="A214" s="2274"/>
      <c r="B214" s="2327" t="s">
        <v>2573</v>
      </c>
      <c r="C214" s="2328" t="s">
        <v>2916</v>
      </c>
      <c r="D214" s="2329"/>
      <c r="E214" s="2150"/>
      <c r="F214" s="2330">
        <f>SUM(G214:N214)</f>
        <v>0</v>
      </c>
      <c r="G214" s="2159"/>
      <c r="H214" s="2159"/>
      <c r="I214" s="2159"/>
      <c r="J214" s="2159"/>
      <c r="K214" s="2159"/>
      <c r="L214" s="2159"/>
      <c r="M214" s="2159"/>
      <c r="N214" s="2160"/>
    </row>
    <row r="215" spans="1:14" ht="15" customHeight="1">
      <c r="A215" s="2274"/>
      <c r="B215" s="2331" t="s">
        <v>2575</v>
      </c>
      <c r="C215" s="2332" t="s">
        <v>2806</v>
      </c>
      <c r="D215" s="2329"/>
      <c r="E215" s="2150"/>
      <c r="F215" s="2277"/>
      <c r="G215" s="2146"/>
      <c r="H215" s="2146"/>
      <c r="I215" s="2146"/>
      <c r="J215" s="2146"/>
      <c r="K215" s="2146"/>
      <c r="L215" s="2146"/>
      <c r="M215" s="2146"/>
      <c r="N215" s="2147"/>
    </row>
    <row r="216" spans="1:14" ht="15" customHeight="1">
      <c r="A216" s="2274"/>
      <c r="B216" s="2333" t="s">
        <v>2644</v>
      </c>
      <c r="C216" s="2334" t="s">
        <v>2917</v>
      </c>
      <c r="D216" s="2335"/>
      <c r="E216" s="2336">
        <f>+E194</f>
        <v>0</v>
      </c>
      <c r="F216" s="2277">
        <f>INT(F194*E216)</f>
        <v>0</v>
      </c>
      <c r="G216" s="2146">
        <f>F216-SUM(H216:N216)</f>
        <v>0</v>
      </c>
      <c r="H216" s="2146">
        <f t="shared" ref="H216:N216" si="119">IF(H194=0,0,ROUND($F216/$F194*H194,0))</f>
        <v>0</v>
      </c>
      <c r="I216" s="2146">
        <f t="shared" si="119"/>
        <v>0</v>
      </c>
      <c r="J216" s="2146">
        <f t="shared" si="119"/>
        <v>0</v>
      </c>
      <c r="K216" s="2146">
        <f t="shared" si="119"/>
        <v>0</v>
      </c>
      <c r="L216" s="2146">
        <f t="shared" si="119"/>
        <v>0</v>
      </c>
      <c r="M216" s="2146">
        <f t="shared" si="119"/>
        <v>0</v>
      </c>
      <c r="N216" s="2325">
        <f t="shared" si="119"/>
        <v>0</v>
      </c>
    </row>
    <row r="217" spans="1:14" ht="15" customHeight="1" thickBot="1">
      <c r="A217" s="2337"/>
      <c r="B217" s="2338"/>
      <c r="C217" s="2339"/>
      <c r="D217" s="2340"/>
      <c r="E217" s="2336"/>
      <c r="F217" s="2341"/>
      <c r="G217" s="2146"/>
      <c r="H217" s="2342"/>
      <c r="I217" s="2342"/>
      <c r="J217" s="2342"/>
      <c r="K217" s="2342"/>
      <c r="L217" s="2342"/>
      <c r="M217" s="2342"/>
      <c r="N217" s="2343"/>
    </row>
    <row r="218" spans="1:14" ht="15" customHeight="1" thickTop="1">
      <c r="A218" s="2344"/>
      <c r="B218" s="2345"/>
      <c r="C218" s="2346" t="s">
        <v>2664</v>
      </c>
      <c r="D218" s="2347"/>
      <c r="E218" s="2348"/>
      <c r="F218" s="2349">
        <f>SUM(F196:F217)</f>
        <v>0</v>
      </c>
      <c r="G218" s="2349">
        <f t="shared" ref="G218:N218" si="120">G197+G199+SUM(G201:G216)</f>
        <v>0</v>
      </c>
      <c r="H218" s="2349">
        <f t="shared" si="120"/>
        <v>0</v>
      </c>
      <c r="I218" s="2349">
        <f t="shared" si="120"/>
        <v>0</v>
      </c>
      <c r="J218" s="2349">
        <f>J197+J199+SUM(J201:J216)</f>
        <v>0</v>
      </c>
      <c r="K218" s="2349">
        <f>K197+K199+SUM(K201:K216)</f>
        <v>0</v>
      </c>
      <c r="L218" s="2349">
        <f t="shared" si="120"/>
        <v>0</v>
      </c>
      <c r="M218" s="2349">
        <f t="shared" si="120"/>
        <v>0</v>
      </c>
      <c r="N218" s="2350">
        <f t="shared" si="120"/>
        <v>0</v>
      </c>
    </row>
    <row r="219" spans="1:14" ht="15" customHeight="1">
      <c r="A219" s="2351"/>
      <c r="B219" s="2352"/>
      <c r="C219" s="2353" t="s">
        <v>2665</v>
      </c>
      <c r="D219" s="2354"/>
      <c r="E219" s="2355"/>
      <c r="F219" s="2260">
        <f>SUM(G219:N219)</f>
        <v>0</v>
      </c>
      <c r="G219" s="2261">
        <f t="shared" ref="G219:N219" si="121">+G104+G218</f>
        <v>0</v>
      </c>
      <c r="H219" s="2261">
        <f t="shared" si="121"/>
        <v>0</v>
      </c>
      <c r="I219" s="2261">
        <f t="shared" si="121"/>
        <v>0</v>
      </c>
      <c r="J219" s="2261">
        <f>+J104+J218</f>
        <v>0</v>
      </c>
      <c r="K219" s="2261">
        <f>+K104+K218</f>
        <v>0</v>
      </c>
      <c r="L219" s="2261">
        <f t="shared" si="121"/>
        <v>0</v>
      </c>
      <c r="M219" s="2261">
        <f t="shared" si="121"/>
        <v>0</v>
      </c>
      <c r="N219" s="2356">
        <f t="shared" si="121"/>
        <v>0</v>
      </c>
    </row>
    <row r="220" spans="1:14" ht="15" customHeight="1">
      <c r="A220" s="1714"/>
      <c r="B220" s="1714"/>
      <c r="C220" s="1974" t="s">
        <v>2918</v>
      </c>
      <c r="D220" s="1974"/>
      <c r="E220" s="1715"/>
      <c r="F220" s="1715"/>
      <c r="G220" s="1975"/>
      <c r="H220" s="1724"/>
      <c r="I220" s="1724"/>
      <c r="J220" s="1724"/>
      <c r="K220" s="1724"/>
      <c r="L220" s="1724"/>
      <c r="M220" s="1724"/>
      <c r="N220" s="1720" t="s">
        <v>2919</v>
      </c>
    </row>
    <row r="221" spans="1:14" ht="15" customHeight="1">
      <c r="A221" s="1714"/>
      <c r="B221" s="1714"/>
      <c r="C221" s="1714"/>
      <c r="D221" s="1714"/>
      <c r="E221" s="1714"/>
      <c r="F221" s="1714"/>
      <c r="G221" s="1724"/>
      <c r="H221" s="1724"/>
      <c r="I221" s="1724"/>
      <c r="J221" s="1724"/>
      <c r="K221" s="1724"/>
      <c r="L221" s="1724"/>
      <c r="M221" s="1724"/>
      <c r="N221" s="1724"/>
    </row>
    <row r="222" spans="1:14" ht="15" customHeight="1">
      <c r="A222" s="2889"/>
      <c r="B222" s="2890"/>
      <c r="C222" s="2890"/>
      <c r="D222" s="2357"/>
      <c r="E222" s="2257" t="s">
        <v>2668</v>
      </c>
      <c r="F222" s="2257" t="s">
        <v>2517</v>
      </c>
      <c r="G222" s="2258" t="str">
        <f t="shared" ref="G222:N222" si="122">+G89</f>
        <v>工事１</v>
      </c>
      <c r="H222" s="2258">
        <f t="shared" si="122"/>
        <v>0</v>
      </c>
      <c r="I222" s="2258">
        <f t="shared" si="122"/>
        <v>0</v>
      </c>
      <c r="J222" s="2258">
        <f>+J89</f>
        <v>0</v>
      </c>
      <c r="K222" s="2258">
        <f>+K89</f>
        <v>0</v>
      </c>
      <c r="L222" s="2258">
        <f t="shared" si="122"/>
        <v>0</v>
      </c>
      <c r="M222" s="2258">
        <f t="shared" si="122"/>
        <v>0</v>
      </c>
      <c r="N222" s="2358">
        <f t="shared" si="122"/>
        <v>0</v>
      </c>
    </row>
    <row r="223" spans="1:14" ht="15" customHeight="1">
      <c r="A223" s="2891"/>
      <c r="B223" s="2892"/>
      <c r="C223" s="2892"/>
      <c r="D223" s="2359"/>
      <c r="E223" s="2355"/>
      <c r="F223" s="2360"/>
      <c r="G223" s="2361"/>
      <c r="H223" s="2361"/>
      <c r="I223" s="2361"/>
      <c r="J223" s="2361"/>
      <c r="K223" s="2361"/>
      <c r="L223" s="2361"/>
      <c r="M223" s="2361"/>
      <c r="N223" s="2362"/>
    </row>
    <row r="224" spans="1:14" ht="15" customHeight="1">
      <c r="A224" s="2363"/>
      <c r="B224" s="2364"/>
      <c r="C224" s="2365" t="s">
        <v>2809</v>
      </c>
      <c r="D224" s="2366"/>
      <c r="E224" s="2367"/>
      <c r="F224" s="2368">
        <f t="shared" ref="F224:N224" si="123">+F219</f>
        <v>0</v>
      </c>
      <c r="G224" s="2368">
        <f t="shared" si="123"/>
        <v>0</v>
      </c>
      <c r="H224" s="2368">
        <f t="shared" si="123"/>
        <v>0</v>
      </c>
      <c r="I224" s="2368">
        <f t="shared" si="123"/>
        <v>0</v>
      </c>
      <c r="J224" s="2368">
        <f>+J219</f>
        <v>0</v>
      </c>
      <c r="K224" s="2368">
        <f>+K219</f>
        <v>0</v>
      </c>
      <c r="L224" s="2368">
        <f t="shared" si="123"/>
        <v>0</v>
      </c>
      <c r="M224" s="2368">
        <f t="shared" si="123"/>
        <v>0</v>
      </c>
      <c r="N224" s="2369">
        <f t="shared" si="123"/>
        <v>0</v>
      </c>
    </row>
    <row r="225" spans="1:14" ht="15" customHeight="1">
      <c r="A225" s="2041"/>
      <c r="B225" s="2044"/>
      <c r="C225" s="2370"/>
      <c r="D225" s="2371"/>
      <c r="E225" s="1886" t="s">
        <v>2810</v>
      </c>
      <c r="F225" s="2372">
        <f>SUM(G225:N225)</f>
        <v>0</v>
      </c>
      <c r="G225" s="2137">
        <f t="shared" ref="G225:N225" si="124">G178+G199+G202+G140+G141</f>
        <v>0</v>
      </c>
      <c r="H225" s="2137">
        <f t="shared" si="124"/>
        <v>0</v>
      </c>
      <c r="I225" s="2137">
        <f t="shared" si="124"/>
        <v>0</v>
      </c>
      <c r="J225" s="2137">
        <f>J178+J199+J202+J140+J141</f>
        <v>0</v>
      </c>
      <c r="K225" s="2137">
        <f>K178+K199+K202+K140+K141</f>
        <v>0</v>
      </c>
      <c r="L225" s="2137">
        <f t="shared" si="124"/>
        <v>0</v>
      </c>
      <c r="M225" s="2137">
        <f t="shared" si="124"/>
        <v>0</v>
      </c>
      <c r="N225" s="2138">
        <f t="shared" si="124"/>
        <v>0</v>
      </c>
    </row>
    <row r="226" spans="1:14" ht="15" customHeight="1">
      <c r="A226" s="2055"/>
      <c r="B226" s="2058"/>
      <c r="C226" s="2373"/>
      <c r="D226" s="2374"/>
      <c r="E226" s="2375"/>
      <c r="F226" s="2286"/>
      <c r="G226" s="2287"/>
      <c r="H226" s="2287"/>
      <c r="I226" s="2287"/>
      <c r="J226" s="2287"/>
      <c r="K226" s="2287"/>
      <c r="L226" s="2287"/>
      <c r="M226" s="2287"/>
      <c r="N226" s="2288"/>
    </row>
    <row r="227" spans="1:14" ht="15" customHeight="1">
      <c r="A227" s="1725"/>
      <c r="B227" s="1726"/>
      <c r="C227" s="1726"/>
      <c r="D227" s="2376"/>
      <c r="E227" s="2367" t="str">
        <f>E89</f>
        <v>有り</v>
      </c>
      <c r="F227" s="2893" t="s">
        <v>2672</v>
      </c>
      <c r="G227" s="2893"/>
      <c r="H227" s="2272"/>
      <c r="I227" s="2272"/>
      <c r="J227" s="2272"/>
      <c r="K227" s="2272"/>
      <c r="L227" s="2272"/>
      <c r="M227" s="2272"/>
      <c r="N227" s="2273"/>
    </row>
    <row r="228" spans="1:14" ht="15" customHeight="1">
      <c r="A228" s="2880" t="s">
        <v>2673</v>
      </c>
      <c r="B228" s="2880"/>
      <c r="C228" s="2894"/>
      <c r="D228" s="2377"/>
      <c r="E228" s="2375" t="str">
        <f>+E90</f>
        <v>有り</v>
      </c>
      <c r="F228" s="2895" t="s">
        <v>2674</v>
      </c>
      <c r="G228" s="2895"/>
      <c r="H228" s="2287"/>
      <c r="I228" s="2287"/>
      <c r="J228" s="2287"/>
      <c r="K228" s="2287"/>
      <c r="L228" s="2287"/>
      <c r="M228" s="2287"/>
      <c r="N228" s="2288"/>
    </row>
    <row r="229" spans="1:14" ht="15" customHeight="1">
      <c r="A229" s="2878"/>
      <c r="B229" s="2378" t="s">
        <v>161</v>
      </c>
      <c r="C229" s="2379" t="s">
        <v>2920</v>
      </c>
      <c r="D229" s="2380"/>
      <c r="E229" s="2381">
        <f>G296/100</f>
        <v>0.11259999999999999</v>
      </c>
      <c r="F229" s="2368">
        <f>SUM(G229:N229)</f>
        <v>0</v>
      </c>
      <c r="G229" s="2382">
        <f t="shared" ref="G229:N229" si="125">G122+G123+G124+G140+G141+G197+G199+G202+SUM(G211:G216)-G234</f>
        <v>0</v>
      </c>
      <c r="H229" s="2382">
        <f t="shared" si="125"/>
        <v>0</v>
      </c>
      <c r="I229" s="2382">
        <f t="shared" si="125"/>
        <v>0</v>
      </c>
      <c r="J229" s="2382">
        <f>J122+J123+J124+J140+J141+J197+J199+J202+SUM(J211:J216)-J234</f>
        <v>0</v>
      </c>
      <c r="K229" s="2382">
        <f>K122+K123+K124+K140+K141+K197+K199+K202+SUM(K211:K216)-K234</f>
        <v>0</v>
      </c>
      <c r="L229" s="2382">
        <f t="shared" si="125"/>
        <v>0</v>
      </c>
      <c r="M229" s="2382">
        <f t="shared" si="125"/>
        <v>0</v>
      </c>
      <c r="N229" s="2383">
        <f t="shared" si="125"/>
        <v>0</v>
      </c>
    </row>
    <row r="230" spans="1:14" ht="15" customHeight="1">
      <c r="A230" s="2879"/>
      <c r="B230" s="2868" t="s">
        <v>2676</v>
      </c>
      <c r="C230" s="2384" t="s">
        <v>2677</v>
      </c>
      <c r="D230" s="2329"/>
      <c r="E230" s="2385">
        <f>IF(E227="無し",0.05,0)</f>
        <v>0</v>
      </c>
      <c r="F230" s="2277">
        <f>SUM(G230:N230)</f>
        <v>0</v>
      </c>
      <c r="G230" s="2137">
        <f t="shared" ref="G230:N230" si="126">G229</f>
        <v>0</v>
      </c>
      <c r="H230" s="2137">
        <f t="shared" si="126"/>
        <v>0</v>
      </c>
      <c r="I230" s="2137">
        <f t="shared" si="126"/>
        <v>0</v>
      </c>
      <c r="J230" s="2137">
        <f>J229</f>
        <v>0</v>
      </c>
      <c r="K230" s="2137">
        <f>K229</f>
        <v>0</v>
      </c>
      <c r="L230" s="2137">
        <f t="shared" si="126"/>
        <v>0</v>
      </c>
      <c r="M230" s="2137">
        <f t="shared" si="126"/>
        <v>0</v>
      </c>
      <c r="N230" s="2138">
        <f t="shared" si="126"/>
        <v>0</v>
      </c>
    </row>
    <row r="231" spans="1:14" ht="15" customHeight="1">
      <c r="A231" s="2879"/>
      <c r="B231" s="2868"/>
      <c r="C231" s="2384" t="s">
        <v>2678</v>
      </c>
      <c r="D231" s="2386"/>
      <c r="E231" s="2150">
        <f>IF(E228="無し",0,0.0004)</f>
        <v>4.0000000000000002E-4</v>
      </c>
      <c r="F231" s="2137">
        <f t="shared" ref="F231:N231" si="127">F229</f>
        <v>0</v>
      </c>
      <c r="G231" s="2137">
        <f t="shared" si="127"/>
        <v>0</v>
      </c>
      <c r="H231" s="2137">
        <f t="shared" si="127"/>
        <v>0</v>
      </c>
      <c r="I231" s="2137">
        <f t="shared" si="127"/>
        <v>0</v>
      </c>
      <c r="J231" s="2137">
        <f>J229</f>
        <v>0</v>
      </c>
      <c r="K231" s="2137">
        <f>K229</f>
        <v>0</v>
      </c>
      <c r="L231" s="2137">
        <f t="shared" si="127"/>
        <v>0</v>
      </c>
      <c r="M231" s="2137">
        <f t="shared" si="127"/>
        <v>0</v>
      </c>
      <c r="N231" s="2138">
        <f t="shared" si="127"/>
        <v>0</v>
      </c>
    </row>
    <row r="232" spans="1:14" ht="15" customHeight="1">
      <c r="A232" s="2879"/>
      <c r="B232" s="2866" t="s">
        <v>2812</v>
      </c>
      <c r="C232" s="2384"/>
      <c r="D232" s="2387"/>
      <c r="E232" s="2387"/>
      <c r="F232" s="2277"/>
      <c r="G232" s="2146"/>
      <c r="H232" s="2146"/>
      <c r="I232" s="2146"/>
      <c r="J232" s="2146"/>
      <c r="K232" s="2146"/>
      <c r="L232" s="2146"/>
      <c r="M232" s="2146"/>
      <c r="N232" s="2147"/>
    </row>
    <row r="233" spans="1:14" ht="15" customHeight="1">
      <c r="A233" s="2879"/>
      <c r="B233" s="2867"/>
      <c r="C233" s="2388" t="s">
        <v>2921</v>
      </c>
      <c r="D233" s="2387"/>
      <c r="E233" s="2387"/>
      <c r="F233" s="2277">
        <f>SUM(G233:N233)</f>
        <v>0</v>
      </c>
      <c r="G233" s="2146">
        <f t="shared" ref="G233:N233" si="128">+SUM(G182:G190,G202:G210)</f>
        <v>0</v>
      </c>
      <c r="H233" s="2146">
        <f t="shared" si="128"/>
        <v>0</v>
      </c>
      <c r="I233" s="2146">
        <f t="shared" si="128"/>
        <v>0</v>
      </c>
      <c r="J233" s="2146">
        <f>+SUM(J182:J190,J202:J210)</f>
        <v>0</v>
      </c>
      <c r="K233" s="2146">
        <f>+SUM(K182:K190,K202:K210)</f>
        <v>0</v>
      </c>
      <c r="L233" s="2146">
        <f t="shared" si="128"/>
        <v>0</v>
      </c>
      <c r="M233" s="2146">
        <f t="shared" si="128"/>
        <v>0</v>
      </c>
      <c r="N233" s="2147">
        <f t="shared" si="128"/>
        <v>0</v>
      </c>
    </row>
    <row r="234" spans="1:14" ht="15" customHeight="1">
      <c r="A234" s="2879"/>
      <c r="B234" s="2868" t="s">
        <v>2679</v>
      </c>
      <c r="C234" s="2389" t="s">
        <v>2814</v>
      </c>
      <c r="D234" s="2390"/>
      <c r="E234" s="2326">
        <v>0</v>
      </c>
      <c r="F234" s="2277">
        <f>SUM(G234:N234)</f>
        <v>0</v>
      </c>
      <c r="G234" s="2146">
        <f t="shared" ref="G234:N234" si="129">+G142</f>
        <v>0</v>
      </c>
      <c r="H234" s="2146">
        <f t="shared" si="129"/>
        <v>0</v>
      </c>
      <c r="I234" s="2146">
        <f t="shared" si="129"/>
        <v>0</v>
      </c>
      <c r="J234" s="2146">
        <f>+J142</f>
        <v>0</v>
      </c>
      <c r="K234" s="2146">
        <f>+K142</f>
        <v>0</v>
      </c>
      <c r="L234" s="2146">
        <f t="shared" si="129"/>
        <v>0</v>
      </c>
      <c r="M234" s="2146">
        <f t="shared" si="129"/>
        <v>0</v>
      </c>
      <c r="N234" s="2147">
        <f t="shared" si="129"/>
        <v>0</v>
      </c>
    </row>
    <row r="235" spans="1:14" ht="15" customHeight="1">
      <c r="A235" s="2879"/>
      <c r="B235" s="2868"/>
      <c r="C235" s="2371"/>
      <c r="D235" s="2391"/>
      <c r="E235" s="2326"/>
      <c r="F235" s="2277"/>
      <c r="G235" s="2146"/>
      <c r="H235" s="2146"/>
      <c r="I235" s="2146"/>
      <c r="J235" s="2146"/>
      <c r="K235" s="2146"/>
      <c r="L235" s="2146"/>
      <c r="M235" s="2146"/>
      <c r="N235" s="2147"/>
    </row>
    <row r="236" spans="1:14" ht="15" customHeight="1">
      <c r="A236" s="2879"/>
      <c r="B236" s="2866"/>
      <c r="C236" s="2392"/>
      <c r="D236" s="2393"/>
      <c r="E236" s="2394"/>
      <c r="F236" s="2286"/>
      <c r="G236" s="2287"/>
      <c r="H236" s="2287"/>
      <c r="I236" s="2287"/>
      <c r="J236" s="2287"/>
      <c r="K236" s="2287"/>
      <c r="L236" s="2287"/>
      <c r="M236" s="2287"/>
      <c r="N236" s="2288"/>
    </row>
    <row r="237" spans="1:14" ht="15" customHeight="1">
      <c r="A237" s="1725"/>
      <c r="B237" s="1726"/>
      <c r="C237" s="2395"/>
      <c r="D237" s="2396"/>
      <c r="E237" s="2397"/>
      <c r="F237" s="2368"/>
      <c r="G237" s="2272"/>
      <c r="H237" s="2272"/>
      <c r="I237" s="2272"/>
      <c r="J237" s="2272"/>
      <c r="K237" s="2272"/>
      <c r="L237" s="2272"/>
      <c r="M237" s="2272"/>
      <c r="N237" s="2273"/>
    </row>
    <row r="238" spans="1:14" ht="15" customHeight="1">
      <c r="A238" s="2880" t="s">
        <v>2680</v>
      </c>
      <c r="B238" s="2880"/>
      <c r="C238" s="2881"/>
      <c r="D238" s="2398"/>
      <c r="E238" s="2399"/>
      <c r="F238" s="2286"/>
      <c r="G238" s="2287"/>
      <c r="H238" s="2287"/>
      <c r="I238" s="2287"/>
      <c r="J238" s="2287"/>
      <c r="K238" s="2287"/>
      <c r="L238" s="2287"/>
      <c r="M238" s="2287"/>
      <c r="N238" s="2288"/>
    </row>
    <row r="239" spans="1:14" ht="15" customHeight="1">
      <c r="A239" s="1737"/>
      <c r="B239" s="2400" t="s">
        <v>161</v>
      </c>
      <c r="C239" s="2401" t="s">
        <v>2922</v>
      </c>
      <c r="D239" s="2380"/>
      <c r="E239" s="2402">
        <f>+E229</f>
        <v>0.11259999999999999</v>
      </c>
      <c r="F239" s="2368">
        <f>INT(F229*E239)</f>
        <v>0</v>
      </c>
      <c r="G239" s="2272">
        <f>F239-SUM(H239:N239)</f>
        <v>0</v>
      </c>
      <c r="H239" s="2272">
        <f t="shared" ref="H239:N239" si="130">IF(H229=0,0,ROUND($F239/$F229*H229,0))</f>
        <v>0</v>
      </c>
      <c r="I239" s="2272">
        <f t="shared" si="130"/>
        <v>0</v>
      </c>
      <c r="J239" s="2272">
        <f t="shared" si="130"/>
        <v>0</v>
      </c>
      <c r="K239" s="2272">
        <f t="shared" si="130"/>
        <v>0</v>
      </c>
      <c r="L239" s="2272">
        <f t="shared" si="130"/>
        <v>0</v>
      </c>
      <c r="M239" s="2272">
        <f t="shared" si="130"/>
        <v>0</v>
      </c>
      <c r="N239" s="2273">
        <f t="shared" si="130"/>
        <v>0</v>
      </c>
    </row>
    <row r="240" spans="1:14" ht="15" customHeight="1">
      <c r="A240" s="1737"/>
      <c r="B240" s="2868" t="s">
        <v>2676</v>
      </c>
      <c r="C240" s="2384" t="s">
        <v>2677</v>
      </c>
      <c r="D240" s="2390"/>
      <c r="E240" s="2150">
        <f>+E230</f>
        <v>0</v>
      </c>
      <c r="F240" s="2277">
        <f>INT((F230*E239*E240)+(F243*E240))</f>
        <v>0</v>
      </c>
      <c r="G240" s="2146">
        <f>F240-SUM(H240:N240)</f>
        <v>0</v>
      </c>
      <c r="H240" s="2146">
        <f t="shared" ref="H240:N240" si="131">IF(H230+H243=0,0,ROUND($F240/$F230*H230,0))</f>
        <v>0</v>
      </c>
      <c r="I240" s="2146">
        <f t="shared" si="131"/>
        <v>0</v>
      </c>
      <c r="J240" s="2146">
        <f t="shared" si="131"/>
        <v>0</v>
      </c>
      <c r="K240" s="2146">
        <f t="shared" si="131"/>
        <v>0</v>
      </c>
      <c r="L240" s="2146">
        <f t="shared" si="131"/>
        <v>0</v>
      </c>
      <c r="M240" s="2146">
        <f t="shared" si="131"/>
        <v>0</v>
      </c>
      <c r="N240" s="2147">
        <f t="shared" si="131"/>
        <v>0</v>
      </c>
    </row>
    <row r="241" spans="1:14" ht="15" customHeight="1">
      <c r="A241" s="1737"/>
      <c r="B241" s="2868"/>
      <c r="C241" s="2384" t="s">
        <v>2678</v>
      </c>
      <c r="D241" s="2390"/>
      <c r="E241" s="2150">
        <f>+E231</f>
        <v>4.0000000000000002E-4</v>
      </c>
      <c r="F241" s="2277">
        <f>INT((F231*E241)+(F243*E241))</f>
        <v>0</v>
      </c>
      <c r="G241" s="2146">
        <f>F241-SUM(H241:N241)</f>
        <v>0</v>
      </c>
      <c r="H241" s="2146">
        <f t="shared" ref="H241:N241" si="132">IF(H231+H243=0,0,ROUND($F241/$F231*H231,0))</f>
        <v>0</v>
      </c>
      <c r="I241" s="2146">
        <f t="shared" si="132"/>
        <v>0</v>
      </c>
      <c r="J241" s="2146">
        <f t="shared" si="132"/>
        <v>0</v>
      </c>
      <c r="K241" s="2146">
        <f t="shared" si="132"/>
        <v>0</v>
      </c>
      <c r="L241" s="2146">
        <f t="shared" si="132"/>
        <v>0</v>
      </c>
      <c r="M241" s="2146">
        <f t="shared" si="132"/>
        <v>0</v>
      </c>
      <c r="N241" s="2147">
        <f t="shared" si="132"/>
        <v>0</v>
      </c>
    </row>
    <row r="242" spans="1:14" ht="15" customHeight="1">
      <c r="A242" s="1737"/>
      <c r="B242" s="2866" t="s">
        <v>2812</v>
      </c>
      <c r="C242" s="2384"/>
      <c r="D242" s="2387"/>
      <c r="E242" s="2403" t="s">
        <v>2816</v>
      </c>
      <c r="F242" s="2277"/>
      <c r="G242" s="2146"/>
      <c r="H242" s="2146"/>
      <c r="I242" s="2146"/>
      <c r="J242" s="2146"/>
      <c r="K242" s="2146"/>
      <c r="L242" s="2146"/>
      <c r="M242" s="2146"/>
      <c r="N242" s="2147"/>
    </row>
    <row r="243" spans="1:14" ht="15" customHeight="1">
      <c r="A243" s="1737"/>
      <c r="B243" s="2867"/>
      <c r="C243" s="2404" t="s">
        <v>2923</v>
      </c>
      <c r="D243" s="2387"/>
      <c r="E243" s="2387"/>
      <c r="F243" s="2094">
        <f>SUM(G243:N243)</f>
        <v>0</v>
      </c>
      <c r="G243" s="2077">
        <f t="shared" ref="G243:N243" si="133">SUM(G125:G132)-SUM(G183:G190)-SUM(G203:G210)</f>
        <v>0</v>
      </c>
      <c r="H243" s="2077">
        <f t="shared" si="133"/>
        <v>0</v>
      </c>
      <c r="I243" s="2077">
        <f t="shared" si="133"/>
        <v>0</v>
      </c>
      <c r="J243" s="2077">
        <f>SUM(J125:J132)-SUM(J183:J190)-SUM(J203:J210)</f>
        <v>0</v>
      </c>
      <c r="K243" s="2077">
        <f>SUM(K125:K132)-SUM(K183:K190)-SUM(K203:K210)</f>
        <v>0</v>
      </c>
      <c r="L243" s="2077">
        <f t="shared" si="133"/>
        <v>0</v>
      </c>
      <c r="M243" s="2077">
        <f t="shared" si="133"/>
        <v>0</v>
      </c>
      <c r="N243" s="2078">
        <f t="shared" si="133"/>
        <v>0</v>
      </c>
    </row>
    <row r="244" spans="1:14" ht="15" customHeight="1">
      <c r="A244" s="1737"/>
      <c r="B244" s="2868" t="s">
        <v>2679</v>
      </c>
      <c r="C244" s="2389" t="s">
        <v>2814</v>
      </c>
      <c r="D244" s="2390"/>
      <c r="E244" s="2150">
        <f>+E234</f>
        <v>0</v>
      </c>
      <c r="F244" s="2277">
        <f>SUM(G244:N244)</f>
        <v>0</v>
      </c>
      <c r="G244" s="2146">
        <f t="shared" ref="G244:N244" si="134">ROUNDDOWN($E244*$D244*G234,0)</f>
        <v>0</v>
      </c>
      <c r="H244" s="2146">
        <f t="shared" si="134"/>
        <v>0</v>
      </c>
      <c r="I244" s="2146">
        <f t="shared" si="134"/>
        <v>0</v>
      </c>
      <c r="J244" s="2146">
        <f>ROUNDDOWN($E244*$D244*J234,0)</f>
        <v>0</v>
      </c>
      <c r="K244" s="2146">
        <f>ROUNDDOWN($E244*$D244*K234,0)</f>
        <v>0</v>
      </c>
      <c r="L244" s="2146">
        <f t="shared" si="134"/>
        <v>0</v>
      </c>
      <c r="M244" s="2146">
        <f t="shared" si="134"/>
        <v>0</v>
      </c>
      <c r="N244" s="2147">
        <f t="shared" si="134"/>
        <v>0</v>
      </c>
    </row>
    <row r="245" spans="1:14" ht="15" customHeight="1">
      <c r="A245" s="1737"/>
      <c r="B245" s="2868"/>
      <c r="C245" s="2371"/>
      <c r="D245" s="2391"/>
      <c r="E245" s="2387">
        <f>+G236</f>
        <v>0</v>
      </c>
      <c r="F245" s="2277"/>
      <c r="G245" s="2146"/>
      <c r="H245" s="2146"/>
      <c r="I245" s="2146"/>
      <c r="J245" s="2146"/>
      <c r="K245" s="2146"/>
      <c r="L245" s="2146"/>
      <c r="M245" s="2146"/>
      <c r="N245" s="2147"/>
    </row>
    <row r="246" spans="1:14" ht="15" customHeight="1">
      <c r="A246" s="2351"/>
      <c r="B246" s="2869"/>
      <c r="C246" s="2374"/>
      <c r="D246" s="2393"/>
      <c r="E246" s="2399">
        <f>+G237</f>
        <v>0</v>
      </c>
      <c r="F246" s="2286"/>
      <c r="G246" s="2287"/>
      <c r="H246" s="2287"/>
      <c r="I246" s="2287"/>
      <c r="J246" s="2287"/>
      <c r="K246" s="2287"/>
      <c r="L246" s="2287"/>
      <c r="M246" s="2287"/>
      <c r="N246" s="2288"/>
    </row>
    <row r="247" spans="1:14" ht="15" customHeight="1">
      <c r="A247" s="2363"/>
      <c r="B247" s="2364"/>
      <c r="C247" s="2364"/>
      <c r="D247" s="2405"/>
      <c r="E247" s="2405"/>
      <c r="F247" s="2368"/>
      <c r="G247" s="2272"/>
      <c r="H247" s="2272"/>
      <c r="I247" s="2272"/>
      <c r="J247" s="2272"/>
      <c r="K247" s="2272"/>
      <c r="L247" s="2272"/>
      <c r="M247" s="2272"/>
      <c r="N247" s="2273"/>
    </row>
    <row r="248" spans="1:14" ht="15" customHeight="1">
      <c r="A248" s="2041"/>
      <c r="B248" s="2044"/>
      <c r="C248" s="2406" t="s">
        <v>2684</v>
      </c>
      <c r="D248" s="2371"/>
      <c r="E248" s="2384"/>
      <c r="F248" s="2277">
        <f>SUM(G248:N248)</f>
        <v>0</v>
      </c>
      <c r="G248" s="2146">
        <f t="shared" ref="G248:N248" si="135">SUM(G239:G246)</f>
        <v>0</v>
      </c>
      <c r="H248" s="2146">
        <f t="shared" si="135"/>
        <v>0</v>
      </c>
      <c r="I248" s="2146">
        <f t="shared" si="135"/>
        <v>0</v>
      </c>
      <c r="J248" s="2146">
        <f>SUM(J239:J246)</f>
        <v>0</v>
      </c>
      <c r="K248" s="2146">
        <f>SUM(K239:K246)</f>
        <v>0</v>
      </c>
      <c r="L248" s="2146">
        <f t="shared" si="135"/>
        <v>0</v>
      </c>
      <c r="M248" s="2146">
        <f t="shared" si="135"/>
        <v>0</v>
      </c>
      <c r="N248" s="2147">
        <f t="shared" si="135"/>
        <v>0</v>
      </c>
    </row>
    <row r="249" spans="1:14" ht="15" customHeight="1">
      <c r="A249" s="2041"/>
      <c r="B249" s="2044"/>
      <c r="C249" s="2406" t="s">
        <v>2665</v>
      </c>
      <c r="D249" s="2371"/>
      <c r="E249" s="2384"/>
      <c r="F249" s="2277">
        <f>SUM(G249:N249)</f>
        <v>0</v>
      </c>
      <c r="G249" s="2146">
        <f t="shared" ref="G249:N249" si="136">+G224</f>
        <v>0</v>
      </c>
      <c r="H249" s="2146">
        <f t="shared" si="136"/>
        <v>0</v>
      </c>
      <c r="I249" s="2146">
        <f t="shared" si="136"/>
        <v>0</v>
      </c>
      <c r="J249" s="2146">
        <f>+J224</f>
        <v>0</v>
      </c>
      <c r="K249" s="2146">
        <f>+K224</f>
        <v>0</v>
      </c>
      <c r="L249" s="2146">
        <f t="shared" si="136"/>
        <v>0</v>
      </c>
      <c r="M249" s="2146">
        <f t="shared" si="136"/>
        <v>0</v>
      </c>
      <c r="N249" s="2147">
        <f t="shared" si="136"/>
        <v>0</v>
      </c>
    </row>
    <row r="250" spans="1:14" ht="15" customHeight="1" thickBot="1">
      <c r="A250" s="2407"/>
      <c r="B250" s="2408"/>
      <c r="C250" s="2409" t="s">
        <v>2685</v>
      </c>
      <c r="D250" s="2410"/>
      <c r="E250" s="2411"/>
      <c r="F250" s="2341">
        <f>SUM(G250:N250)</f>
        <v>0</v>
      </c>
      <c r="G250" s="2342">
        <f t="shared" ref="G250:N250" si="137">SUM(G248:G249)</f>
        <v>0</v>
      </c>
      <c r="H250" s="2342">
        <f t="shared" si="137"/>
        <v>0</v>
      </c>
      <c r="I250" s="2342">
        <f t="shared" si="137"/>
        <v>0</v>
      </c>
      <c r="J250" s="2342">
        <f>SUM(J248:J249)</f>
        <v>0</v>
      </c>
      <c r="K250" s="2342">
        <f>SUM(K248:K249)</f>
        <v>0</v>
      </c>
      <c r="L250" s="2342">
        <f t="shared" si="137"/>
        <v>0</v>
      </c>
      <c r="M250" s="2342">
        <f t="shared" si="137"/>
        <v>0</v>
      </c>
      <c r="N250" s="2343">
        <f t="shared" si="137"/>
        <v>0</v>
      </c>
    </row>
    <row r="251" spans="1:14" ht="15" customHeight="1" thickTop="1">
      <c r="A251" s="1737"/>
      <c r="B251" s="1714"/>
      <c r="C251" s="1714"/>
      <c r="D251" s="2412"/>
      <c r="E251" s="2412"/>
      <c r="F251" s="2413"/>
      <c r="G251" s="2414"/>
      <c r="H251" s="2414"/>
      <c r="I251" s="2414"/>
      <c r="J251" s="2414"/>
      <c r="K251" s="2414"/>
      <c r="L251" s="2414"/>
      <c r="M251" s="2414"/>
      <c r="N251" s="2415"/>
    </row>
    <row r="252" spans="1:14" ht="15" customHeight="1">
      <c r="A252" s="2041"/>
      <c r="B252" s="2044"/>
      <c r="C252" s="2406" t="s">
        <v>2665</v>
      </c>
      <c r="D252" s="2371"/>
      <c r="E252" s="2384"/>
      <c r="F252" s="2277">
        <f>SUM(G252:N252)</f>
        <v>0</v>
      </c>
      <c r="G252" s="2146">
        <f t="shared" ref="G252:N252" si="138">+G249</f>
        <v>0</v>
      </c>
      <c r="H252" s="2146">
        <f t="shared" si="138"/>
        <v>0</v>
      </c>
      <c r="I252" s="2146">
        <f t="shared" si="138"/>
        <v>0</v>
      </c>
      <c r="J252" s="2146">
        <f>+J249</f>
        <v>0</v>
      </c>
      <c r="K252" s="2146">
        <f>+K249</f>
        <v>0</v>
      </c>
      <c r="L252" s="2146">
        <f t="shared" si="138"/>
        <v>0</v>
      </c>
      <c r="M252" s="2146">
        <f t="shared" si="138"/>
        <v>0</v>
      </c>
      <c r="N252" s="2147">
        <f t="shared" si="138"/>
        <v>0</v>
      </c>
    </row>
    <row r="253" spans="1:14" ht="15" customHeight="1">
      <c r="A253" s="2041"/>
      <c r="B253" s="2044"/>
      <c r="C253" s="2406" t="s">
        <v>2686</v>
      </c>
      <c r="D253" s="2371"/>
      <c r="E253" s="2384"/>
      <c r="F253" s="2277">
        <f>SUM(G253:N253)</f>
        <v>0</v>
      </c>
      <c r="G253" s="2146">
        <f t="shared" ref="G253:N253" si="139">+G248-(G250-G255)</f>
        <v>0</v>
      </c>
      <c r="H253" s="2146">
        <f t="shared" si="139"/>
        <v>0</v>
      </c>
      <c r="I253" s="2146">
        <f t="shared" si="139"/>
        <v>0</v>
      </c>
      <c r="J253" s="2146">
        <f>+J248-(J250-J255)</f>
        <v>0</v>
      </c>
      <c r="K253" s="2146">
        <f>+K248-(K250-K255)</f>
        <v>0</v>
      </c>
      <c r="L253" s="2146">
        <f t="shared" si="139"/>
        <v>0</v>
      </c>
      <c r="M253" s="2146">
        <f t="shared" si="139"/>
        <v>0</v>
      </c>
      <c r="N253" s="2147">
        <f t="shared" si="139"/>
        <v>0</v>
      </c>
    </row>
    <row r="254" spans="1:14" ht="15" customHeight="1">
      <c r="A254" s="2041"/>
      <c r="B254" s="2044"/>
      <c r="C254" s="2044"/>
      <c r="D254" s="2384"/>
      <c r="E254" s="2416">
        <f>F256+SUM(H255:N255)</f>
        <v>0</v>
      </c>
      <c r="F254" s="2277" t="s">
        <v>2687</v>
      </c>
      <c r="G254" s="2146">
        <f t="shared" ref="G254:N254" si="140">+G248-G253</f>
        <v>0</v>
      </c>
      <c r="H254" s="2146">
        <f t="shared" si="140"/>
        <v>0</v>
      </c>
      <c r="I254" s="2146">
        <f t="shared" si="140"/>
        <v>0</v>
      </c>
      <c r="J254" s="2146">
        <f>+J248-J253</f>
        <v>0</v>
      </c>
      <c r="K254" s="2146">
        <f>+K248-K253</f>
        <v>0</v>
      </c>
      <c r="L254" s="2146">
        <f t="shared" si="140"/>
        <v>0</v>
      </c>
      <c r="M254" s="2146">
        <f t="shared" si="140"/>
        <v>0</v>
      </c>
      <c r="N254" s="2147">
        <f t="shared" si="140"/>
        <v>0</v>
      </c>
    </row>
    <row r="255" spans="1:14" ht="15" customHeight="1">
      <c r="A255" s="2417"/>
      <c r="B255" s="2042"/>
      <c r="C255" s="2042" t="s">
        <v>2688</v>
      </c>
      <c r="D255" s="2418"/>
      <c r="E255" s="2416">
        <f>ROUNDDOWN(E254,4-LEN(E254))</f>
        <v>0</v>
      </c>
      <c r="F255" s="2419">
        <f>SUM(G255:N255)</f>
        <v>0</v>
      </c>
      <c r="G255" s="2420">
        <f>F256-E256</f>
        <v>0</v>
      </c>
      <c r="H255" s="2420">
        <f t="shared" ref="H255:N255" si="141">ROUNDDOWN(H250,H256)</f>
        <v>0</v>
      </c>
      <c r="I255" s="2420">
        <f t="shared" si="141"/>
        <v>0</v>
      </c>
      <c r="J255" s="2420">
        <f t="shared" si="141"/>
        <v>0</v>
      </c>
      <c r="K255" s="2420">
        <f t="shared" si="141"/>
        <v>0</v>
      </c>
      <c r="L255" s="2420">
        <f t="shared" si="141"/>
        <v>0</v>
      </c>
      <c r="M255" s="2420">
        <f t="shared" si="141"/>
        <v>0</v>
      </c>
      <c r="N255" s="2421">
        <f t="shared" si="141"/>
        <v>0</v>
      </c>
    </row>
    <row r="256" spans="1:14" ht="13.5" customHeight="1">
      <c r="A256" s="2422"/>
      <c r="B256" s="2423"/>
      <c r="C256" s="2423"/>
      <c r="D256" s="2424"/>
      <c r="E256" s="2425">
        <f>E254-E255</f>
        <v>0</v>
      </c>
      <c r="F256" s="2425">
        <f>ROUNDDOWN(G250,G256)</f>
        <v>0</v>
      </c>
      <c r="G256" s="2426">
        <f t="shared" ref="G256:N256" si="142">IF(LEN(G250)&lt;=7,-3,IF(LEN(G250)=8,-4,IF(LEN(G250)&gt;=9,-5,-6)))</f>
        <v>-3</v>
      </c>
      <c r="H256" s="2426">
        <f t="shared" si="142"/>
        <v>-3</v>
      </c>
      <c r="I256" s="2426">
        <f t="shared" si="142"/>
        <v>-3</v>
      </c>
      <c r="J256" s="2426">
        <f>IF(LEN(J250)&lt;=7,-3,IF(LEN(J250)=8,-4,IF(LEN(J250)&gt;=9,-5,-6)))</f>
        <v>-3</v>
      </c>
      <c r="K256" s="2426">
        <f>IF(LEN(K250)&lt;=7,-3,IF(LEN(K250)=8,-4,IF(LEN(K250)&gt;=9,-5,-6)))</f>
        <v>-3</v>
      </c>
      <c r="L256" s="2426">
        <f t="shared" si="142"/>
        <v>-3</v>
      </c>
      <c r="M256" s="2426">
        <f t="shared" si="142"/>
        <v>-3</v>
      </c>
      <c r="N256" s="2427">
        <f t="shared" si="142"/>
        <v>-3</v>
      </c>
    </row>
    <row r="257" spans="1:16" ht="13.5" hidden="1" customHeight="1" thickBot="1">
      <c r="A257" s="2428"/>
      <c r="B257" s="2428"/>
      <c r="C257" s="2428"/>
      <c r="D257" s="2428"/>
      <c r="E257" s="2429"/>
      <c r="F257" s="2429"/>
      <c r="G257" s="2430"/>
      <c r="H257" s="2430"/>
      <c r="I257" s="2430"/>
      <c r="J257" s="2430"/>
      <c r="K257" s="2430"/>
      <c r="L257" s="2430"/>
      <c r="M257" s="2430"/>
      <c r="N257" s="2430"/>
    </row>
    <row r="258" spans="1:16" ht="13.5" hidden="1" customHeight="1">
      <c r="A258" s="2431"/>
      <c r="B258" s="2432"/>
      <c r="C258" s="2433" t="s">
        <v>2689</v>
      </c>
      <c r="D258" s="2434"/>
      <c r="E258" s="2432"/>
      <c r="F258" s="2435" t="s">
        <v>2690</v>
      </c>
      <c r="G258" s="2436">
        <f t="shared" ref="G258:N258" si="143">G87</f>
        <v>0</v>
      </c>
      <c r="H258" s="2436">
        <f t="shared" si="143"/>
        <v>0</v>
      </c>
      <c r="I258" s="2436">
        <f t="shared" si="143"/>
        <v>0</v>
      </c>
      <c r="J258" s="2436">
        <f>J87</f>
        <v>0</v>
      </c>
      <c r="K258" s="2436">
        <f>K87</f>
        <v>0</v>
      </c>
      <c r="L258" s="2436">
        <f t="shared" si="143"/>
        <v>0</v>
      </c>
      <c r="M258" s="2436">
        <f t="shared" si="143"/>
        <v>0</v>
      </c>
      <c r="N258" s="2437">
        <f t="shared" si="143"/>
        <v>0</v>
      </c>
      <c r="O258" s="2438"/>
      <c r="P258" s="2438"/>
    </row>
    <row r="259" spans="1:16" ht="13.5" hidden="1" customHeight="1">
      <c r="A259" s="2870"/>
      <c r="B259" s="2873" t="s">
        <v>2691</v>
      </c>
      <c r="C259" s="2439" t="s">
        <v>2692</v>
      </c>
      <c r="D259" s="2074"/>
      <c r="E259" s="2440"/>
      <c r="F259" s="2441" t="s">
        <v>2924</v>
      </c>
      <c r="G259" s="2442">
        <f t="shared" ref="G259:N259" si="144">IF($F$147&lt;=10000000,ROUND(7.56*(10000^-0.1105)*(G258^0.2389),2),ROUND(7.56*(($F$147/1000)^-0.1105)*(G258^0.2389),2))</f>
        <v>0</v>
      </c>
      <c r="H259" s="2442">
        <f t="shared" si="144"/>
        <v>0</v>
      </c>
      <c r="I259" s="2442">
        <f t="shared" si="144"/>
        <v>0</v>
      </c>
      <c r="J259" s="2442">
        <f>IF($F$147&lt;=10000000,ROUND(7.56*(10000^-0.1105)*(J258^0.2389),2),ROUND(7.56*(($F$147/1000)^-0.1105)*(J258^0.2389),2))</f>
        <v>0</v>
      </c>
      <c r="K259" s="2442">
        <f>IF($F$147&lt;=10000000,ROUND(7.56*(10000^-0.1105)*(K258^0.2389),2),ROUND(7.56*(($F$147/1000)^-0.1105)*(K258^0.2389),2))</f>
        <v>0</v>
      </c>
      <c r="L259" s="2442">
        <f t="shared" si="144"/>
        <v>0</v>
      </c>
      <c r="M259" s="2442">
        <f t="shared" si="144"/>
        <v>0</v>
      </c>
      <c r="N259" s="2443">
        <f t="shared" si="144"/>
        <v>0</v>
      </c>
      <c r="O259" s="2444"/>
      <c r="P259" s="2444"/>
    </row>
    <row r="260" spans="1:16" ht="13.5" hidden="1" customHeight="1">
      <c r="A260" s="2871"/>
      <c r="B260" s="2874"/>
      <c r="C260" s="2876" t="s">
        <v>2694</v>
      </c>
      <c r="D260" s="2445"/>
      <c r="E260" s="2446"/>
      <c r="F260" s="2441" t="s">
        <v>2695</v>
      </c>
      <c r="G260" s="2447">
        <f t="shared" ref="G260:N260" si="145">IF($F$147&lt;=10000000,ROUND(4.33,2),0)</f>
        <v>4.33</v>
      </c>
      <c r="H260" s="2447">
        <f t="shared" si="145"/>
        <v>4.33</v>
      </c>
      <c r="I260" s="2447">
        <f t="shared" si="145"/>
        <v>4.33</v>
      </c>
      <c r="J260" s="2447">
        <f t="shared" si="145"/>
        <v>4.33</v>
      </c>
      <c r="K260" s="2447">
        <f t="shared" si="145"/>
        <v>4.33</v>
      </c>
      <c r="L260" s="2447">
        <f t="shared" si="145"/>
        <v>4.33</v>
      </c>
      <c r="M260" s="2447">
        <f t="shared" si="145"/>
        <v>4.33</v>
      </c>
      <c r="N260" s="2448">
        <f t="shared" si="145"/>
        <v>4.33</v>
      </c>
      <c r="O260" s="2449"/>
      <c r="P260" s="2449"/>
    </row>
    <row r="261" spans="1:16" ht="13.5" hidden="1" customHeight="1">
      <c r="A261" s="2871"/>
      <c r="B261" s="2874"/>
      <c r="C261" s="2877"/>
      <c r="D261" s="2450"/>
      <c r="E261" s="2451"/>
      <c r="F261" s="2441" t="s">
        <v>2696</v>
      </c>
      <c r="G261" s="2447">
        <f t="shared" ref="G261:N261" si="146">IF($F$147&lt;=10000000,ROUND(3.25,2),0)</f>
        <v>3.25</v>
      </c>
      <c r="H261" s="2447">
        <f t="shared" si="146"/>
        <v>3.25</v>
      </c>
      <c r="I261" s="2447">
        <f t="shared" si="146"/>
        <v>3.25</v>
      </c>
      <c r="J261" s="2447">
        <f t="shared" si="146"/>
        <v>3.25</v>
      </c>
      <c r="K261" s="2447">
        <f t="shared" si="146"/>
        <v>3.25</v>
      </c>
      <c r="L261" s="2447">
        <f t="shared" si="146"/>
        <v>3.25</v>
      </c>
      <c r="M261" s="2447">
        <f t="shared" si="146"/>
        <v>3.25</v>
      </c>
      <c r="N261" s="2448">
        <f t="shared" si="146"/>
        <v>3.25</v>
      </c>
      <c r="O261" s="2449"/>
      <c r="P261" s="2449"/>
    </row>
    <row r="262" spans="1:16" ht="13.5" hidden="1" customHeight="1">
      <c r="A262" s="2871"/>
      <c r="B262" s="2874"/>
      <c r="C262" s="2876" t="s">
        <v>2697</v>
      </c>
      <c r="D262" s="2445"/>
      <c r="E262" s="2446"/>
      <c r="F262" s="2441" t="s">
        <v>2695</v>
      </c>
      <c r="G262" s="2452">
        <f t="shared" ref="G262:N262" si="147">IF($F$147&gt;10000000,ROUND(5.78*($F$147/1000)^-0.0313,2),0)</f>
        <v>0</v>
      </c>
      <c r="H262" s="2452">
        <f t="shared" si="147"/>
        <v>0</v>
      </c>
      <c r="I262" s="2452">
        <f t="shared" si="147"/>
        <v>0</v>
      </c>
      <c r="J262" s="2452">
        <f t="shared" si="147"/>
        <v>0</v>
      </c>
      <c r="K262" s="2452">
        <f t="shared" si="147"/>
        <v>0</v>
      </c>
      <c r="L262" s="2452">
        <f t="shared" si="147"/>
        <v>0</v>
      </c>
      <c r="M262" s="2452">
        <f t="shared" si="147"/>
        <v>0</v>
      </c>
      <c r="N262" s="2453">
        <f t="shared" si="147"/>
        <v>0</v>
      </c>
      <c r="O262" s="2454"/>
      <c r="P262" s="2454"/>
    </row>
    <row r="263" spans="1:16" ht="13.5" hidden="1" customHeight="1">
      <c r="A263" s="2872"/>
      <c r="B263" s="2875"/>
      <c r="C263" s="2877"/>
      <c r="D263" s="2450"/>
      <c r="E263" s="2451"/>
      <c r="F263" s="2441" t="s">
        <v>2696</v>
      </c>
      <c r="G263" s="2452">
        <f t="shared" ref="G263:N263" si="148">IF($F$147&gt;10000000,ROUND(4.34*($F$147/1000)^-0.0313,2),0)</f>
        <v>0</v>
      </c>
      <c r="H263" s="2452">
        <f t="shared" si="148"/>
        <v>0</v>
      </c>
      <c r="I263" s="2452">
        <f t="shared" si="148"/>
        <v>0</v>
      </c>
      <c r="J263" s="2452">
        <f t="shared" si="148"/>
        <v>0</v>
      </c>
      <c r="K263" s="2452">
        <f t="shared" si="148"/>
        <v>0</v>
      </c>
      <c r="L263" s="2452">
        <f t="shared" si="148"/>
        <v>0</v>
      </c>
      <c r="M263" s="2452">
        <f t="shared" si="148"/>
        <v>0</v>
      </c>
      <c r="N263" s="2453">
        <f t="shared" si="148"/>
        <v>0</v>
      </c>
      <c r="O263" s="2454"/>
      <c r="P263" s="2454"/>
    </row>
    <row r="264" spans="1:16" ht="13.5" hidden="1" customHeight="1">
      <c r="A264" s="2860" t="s">
        <v>2698</v>
      </c>
      <c r="B264" s="2861"/>
      <c r="C264" s="2861"/>
      <c r="D264" s="2861"/>
      <c r="E264" s="2861"/>
      <c r="F264" s="2862"/>
      <c r="G264" s="2455">
        <f t="shared" ref="G264:N264" si="149">IF($F$147&lt;=10000000,IF(G$259&gt;G$260,G$260,IF(G$259&lt;G$261,G$261,G$259)),IF(G$259&gt;G$262,G$262,IF(G$259&lt;G$263,G$263,G$259)))</f>
        <v>3.25</v>
      </c>
      <c r="H264" s="2455">
        <f t="shared" si="149"/>
        <v>3.25</v>
      </c>
      <c r="I264" s="2455">
        <f t="shared" si="149"/>
        <v>3.25</v>
      </c>
      <c r="J264" s="2455">
        <f t="shared" si="149"/>
        <v>3.25</v>
      </c>
      <c r="K264" s="2455">
        <f t="shared" si="149"/>
        <v>3.25</v>
      </c>
      <c r="L264" s="2455">
        <f t="shared" si="149"/>
        <v>3.25</v>
      </c>
      <c r="M264" s="2455">
        <f t="shared" si="149"/>
        <v>3.25</v>
      </c>
      <c r="N264" s="2456">
        <f t="shared" si="149"/>
        <v>3.25</v>
      </c>
      <c r="O264" s="2454"/>
      <c r="P264" s="2454"/>
    </row>
    <row r="265" spans="1:16" ht="13.5" hidden="1" customHeight="1" thickBot="1">
      <c r="A265" s="2863" t="s">
        <v>2699</v>
      </c>
      <c r="B265" s="2864"/>
      <c r="C265" s="2864"/>
      <c r="D265" s="2864"/>
      <c r="E265" s="2864"/>
      <c r="F265" s="2865"/>
      <c r="G265" s="2457">
        <f t="shared" ref="G265:N265" si="150">ROUND(G264*IF(AND(G92="駅施設",G93="無し"),0.7,IF(AND(G92="駅施設",G93="有り"),0.7,IF(AND(G92="地上建物",G93="無し"),0.9,IF(AND(G92="地上建物",G93="有り"),1,0)))),2)</f>
        <v>2.2799999999999998</v>
      </c>
      <c r="H265" s="2457">
        <f t="shared" si="150"/>
        <v>0</v>
      </c>
      <c r="I265" s="2457">
        <f t="shared" si="150"/>
        <v>0</v>
      </c>
      <c r="J265" s="2457">
        <f>ROUND(J264*IF(AND(J92="駅施設",J93="無し"),0.7,IF(AND(J92="駅施設",J93="有り"),0.7,IF(AND(J92="地上建物",J93="無し"),0.9,IF(AND(J92="地上建物",J93="有り"),1,0)))),2)</f>
        <v>0</v>
      </c>
      <c r="K265" s="2457">
        <f>ROUND(K264*IF(AND(K92="駅施設",K93="無し"),0.7,IF(AND(K92="駅施設",K93="有り"),0.7,IF(AND(K92="地上建物",K93="無し"),0.9,IF(AND(K92="地上建物",K93="有り"),1,0)))),2)</f>
        <v>0</v>
      </c>
      <c r="L265" s="2457">
        <f t="shared" si="150"/>
        <v>0</v>
      </c>
      <c r="M265" s="2457">
        <f t="shared" si="150"/>
        <v>0</v>
      </c>
      <c r="N265" s="2458">
        <f t="shared" si="150"/>
        <v>0</v>
      </c>
      <c r="O265" s="2454"/>
      <c r="P265" s="2454"/>
    </row>
    <row r="266" spans="1:16" ht="13.5" hidden="1" customHeight="1" thickBot="1">
      <c r="A266" s="2459"/>
      <c r="B266" s="2460"/>
      <c r="C266" s="2460"/>
      <c r="D266" s="2460"/>
      <c r="E266" s="2460"/>
      <c r="F266" s="2460"/>
      <c r="G266" s="2461"/>
      <c r="H266" s="2461"/>
      <c r="I266" s="2461"/>
      <c r="J266" s="2461"/>
      <c r="K266" s="2461"/>
      <c r="L266" s="2461"/>
      <c r="M266" s="2461"/>
      <c r="N266" s="2461"/>
      <c r="O266" s="2454"/>
      <c r="P266" s="2454"/>
    </row>
    <row r="267" spans="1:16" ht="13.5" hidden="1" customHeight="1">
      <c r="A267" s="2462"/>
      <c r="B267" s="2463"/>
      <c r="C267" s="2464" t="s">
        <v>2689</v>
      </c>
      <c r="D267" s="2465"/>
      <c r="E267" s="2463"/>
      <c r="F267" s="2466" t="s">
        <v>2690</v>
      </c>
      <c r="G267" s="2436">
        <f t="shared" ref="G267:N267" si="151">G87</f>
        <v>0</v>
      </c>
      <c r="H267" s="2436">
        <f t="shared" si="151"/>
        <v>0</v>
      </c>
      <c r="I267" s="2436">
        <f t="shared" si="151"/>
        <v>0</v>
      </c>
      <c r="J267" s="2436">
        <f>J87</f>
        <v>0</v>
      </c>
      <c r="K267" s="2436">
        <f>K87</f>
        <v>0</v>
      </c>
      <c r="L267" s="2436">
        <f t="shared" si="151"/>
        <v>0</v>
      </c>
      <c r="M267" s="2436">
        <f t="shared" si="151"/>
        <v>0</v>
      </c>
      <c r="N267" s="2437">
        <f t="shared" si="151"/>
        <v>0</v>
      </c>
      <c r="O267" s="2438"/>
      <c r="P267" s="2438"/>
    </row>
    <row r="268" spans="1:16" ht="13.5" hidden="1" customHeight="1">
      <c r="A268" s="2847"/>
      <c r="B268" s="2849" t="s">
        <v>2700</v>
      </c>
      <c r="C268" s="2467" t="s">
        <v>2692</v>
      </c>
      <c r="D268" s="2042"/>
      <c r="E268" s="2468"/>
      <c r="F268" s="1990" t="s">
        <v>2701</v>
      </c>
      <c r="G268" s="2442">
        <f t="shared" ref="G268:N268" si="152">IF($F$147&lt;=5000000,ROUND(18.03*(5000^-0.2027)*(G267^0.4017),2),ROUND(18.03*(($F$147/1000)^-0.2027)*(G267^0.4017),2))</f>
        <v>0</v>
      </c>
      <c r="H268" s="2442">
        <f t="shared" si="152"/>
        <v>0</v>
      </c>
      <c r="I268" s="2442">
        <f t="shared" si="152"/>
        <v>0</v>
      </c>
      <c r="J268" s="2442">
        <f>IF($F$147&lt;=5000000,ROUND(18.03*(5000^-0.2027)*(J267^0.4017),2),ROUND(18.03*(($F$147/1000)^-0.2027)*(J267^0.4017),2))</f>
        <v>0</v>
      </c>
      <c r="K268" s="2442">
        <f>IF($F$147&lt;=5000000,ROUND(18.03*(5000^-0.2027)*(K267^0.4017),2),ROUND(18.03*(($F$147/1000)^-0.2027)*(K267^0.4017),2))</f>
        <v>0</v>
      </c>
      <c r="L268" s="2442">
        <f t="shared" si="152"/>
        <v>0</v>
      </c>
      <c r="M268" s="2442">
        <f t="shared" si="152"/>
        <v>0</v>
      </c>
      <c r="N268" s="2443">
        <f t="shared" si="152"/>
        <v>0</v>
      </c>
      <c r="O268" s="2444"/>
      <c r="P268" s="2444"/>
    </row>
    <row r="269" spans="1:16" ht="13.5" hidden="1" customHeight="1">
      <c r="A269" s="2848"/>
      <c r="B269" s="2850"/>
      <c r="C269" s="2858" t="s">
        <v>2702</v>
      </c>
      <c r="D269" s="2051"/>
      <c r="E269" s="2469"/>
      <c r="F269" s="1990" t="s">
        <v>2695</v>
      </c>
      <c r="G269" s="2470">
        <f t="shared" ref="G269:N269" si="153">IF($F$147&lt;=5000000,ROUND(6.07,2),0)</f>
        <v>6.07</v>
      </c>
      <c r="H269" s="2470">
        <f t="shared" si="153"/>
        <v>6.07</v>
      </c>
      <c r="I269" s="2470">
        <f t="shared" si="153"/>
        <v>6.07</v>
      </c>
      <c r="J269" s="2470">
        <f t="shared" si="153"/>
        <v>6.07</v>
      </c>
      <c r="K269" s="2470">
        <f t="shared" si="153"/>
        <v>6.07</v>
      </c>
      <c r="L269" s="2470">
        <f t="shared" si="153"/>
        <v>6.07</v>
      </c>
      <c r="M269" s="2470">
        <f t="shared" si="153"/>
        <v>6.07</v>
      </c>
      <c r="N269" s="2471">
        <f t="shared" si="153"/>
        <v>6.07</v>
      </c>
      <c r="O269" s="2449"/>
      <c r="P269" s="2449"/>
    </row>
    <row r="270" spans="1:16" ht="13.5" hidden="1" customHeight="1">
      <c r="A270" s="2848"/>
      <c r="B270" s="2850"/>
      <c r="C270" s="2859"/>
      <c r="D270" s="2472"/>
      <c r="E270" s="2473"/>
      <c r="F270" s="1990" t="s">
        <v>2696</v>
      </c>
      <c r="G270" s="2470">
        <f t="shared" ref="G270:N270" si="154">IF($F$147&lt;=5000000,ROUND(3.59,2),0)</f>
        <v>3.59</v>
      </c>
      <c r="H270" s="2470">
        <f t="shared" si="154"/>
        <v>3.59</v>
      </c>
      <c r="I270" s="2470">
        <f t="shared" si="154"/>
        <v>3.59</v>
      </c>
      <c r="J270" s="2470">
        <f t="shared" si="154"/>
        <v>3.59</v>
      </c>
      <c r="K270" s="2470">
        <f t="shared" si="154"/>
        <v>3.59</v>
      </c>
      <c r="L270" s="2470">
        <f t="shared" si="154"/>
        <v>3.59</v>
      </c>
      <c r="M270" s="2470">
        <f t="shared" si="154"/>
        <v>3.59</v>
      </c>
      <c r="N270" s="2471">
        <f t="shared" si="154"/>
        <v>3.59</v>
      </c>
      <c r="O270" s="2449"/>
      <c r="P270" s="2449"/>
    </row>
    <row r="271" spans="1:16" ht="13.5" hidden="1" customHeight="1">
      <c r="A271" s="2848"/>
      <c r="B271" s="2850"/>
      <c r="C271" s="2858" t="s">
        <v>2703</v>
      </c>
      <c r="D271" s="2051"/>
      <c r="E271" s="2469"/>
      <c r="F271" s="1990" t="s">
        <v>2695</v>
      </c>
      <c r="G271" s="2474">
        <f t="shared" ref="G271:N271" si="155">IF($F$147&gt;5000000,ROUND(11.74*($F$147/1000)^-0.0774,2),0)</f>
        <v>0</v>
      </c>
      <c r="H271" s="2474">
        <f t="shared" si="155"/>
        <v>0</v>
      </c>
      <c r="I271" s="2474">
        <f t="shared" si="155"/>
        <v>0</v>
      </c>
      <c r="J271" s="2474">
        <f t="shared" si="155"/>
        <v>0</v>
      </c>
      <c r="K271" s="2474">
        <f t="shared" si="155"/>
        <v>0</v>
      </c>
      <c r="L271" s="2474">
        <f t="shared" si="155"/>
        <v>0</v>
      </c>
      <c r="M271" s="2474">
        <f t="shared" si="155"/>
        <v>0</v>
      </c>
      <c r="N271" s="2475">
        <f t="shared" si="155"/>
        <v>0</v>
      </c>
      <c r="O271" s="2454"/>
      <c r="P271" s="2454"/>
    </row>
    <row r="272" spans="1:16" ht="13.5" hidden="1" customHeight="1">
      <c r="A272" s="2856"/>
      <c r="B272" s="2857"/>
      <c r="C272" s="2859"/>
      <c r="D272" s="2472"/>
      <c r="E272" s="2473"/>
      <c r="F272" s="1990" t="s">
        <v>2696</v>
      </c>
      <c r="G272" s="2474">
        <f t="shared" ref="G272:N272" si="156">IF($F$147&gt;5000000,ROUND(6.94*($F$147/1000)^-0.0774,2),0)</f>
        <v>0</v>
      </c>
      <c r="H272" s="2474">
        <f t="shared" si="156"/>
        <v>0</v>
      </c>
      <c r="I272" s="2474">
        <f t="shared" si="156"/>
        <v>0</v>
      </c>
      <c r="J272" s="2474">
        <f t="shared" si="156"/>
        <v>0</v>
      </c>
      <c r="K272" s="2474">
        <f t="shared" si="156"/>
        <v>0</v>
      </c>
      <c r="L272" s="2474">
        <f t="shared" si="156"/>
        <v>0</v>
      </c>
      <c r="M272" s="2474">
        <f t="shared" si="156"/>
        <v>0</v>
      </c>
      <c r="N272" s="2475">
        <f t="shared" si="156"/>
        <v>0</v>
      </c>
      <c r="O272" s="2454"/>
      <c r="P272" s="2454"/>
    </row>
    <row r="273" spans="1:16" ht="13.5" hidden="1" customHeight="1">
      <c r="A273" s="2860" t="s">
        <v>2698</v>
      </c>
      <c r="B273" s="2861"/>
      <c r="C273" s="2861"/>
      <c r="D273" s="2861"/>
      <c r="E273" s="2861"/>
      <c r="F273" s="2862"/>
      <c r="G273" s="2476">
        <f t="shared" ref="G273:N273" si="157">IF($F$147&lt;=5000000,IF(G$268&gt;G$269,G$269,IF(G$268&lt;G$270,G$270,G$268)),IF(G$268&gt;G$271,G$271,IF(G$268&lt;G$272,G$272,G$268)))</f>
        <v>3.59</v>
      </c>
      <c r="H273" s="2476">
        <f t="shared" si="157"/>
        <v>3.59</v>
      </c>
      <c r="I273" s="2476">
        <f t="shared" si="157"/>
        <v>3.59</v>
      </c>
      <c r="J273" s="2476">
        <f t="shared" si="157"/>
        <v>3.59</v>
      </c>
      <c r="K273" s="2476">
        <f t="shared" si="157"/>
        <v>3.59</v>
      </c>
      <c r="L273" s="2476">
        <f t="shared" si="157"/>
        <v>3.59</v>
      </c>
      <c r="M273" s="2476">
        <f t="shared" si="157"/>
        <v>3.59</v>
      </c>
      <c r="N273" s="2477">
        <f t="shared" si="157"/>
        <v>3.59</v>
      </c>
      <c r="O273" s="2478"/>
      <c r="P273" s="2478"/>
    </row>
    <row r="274" spans="1:16" ht="13.5" hidden="1" customHeight="1" thickBot="1">
      <c r="A274" s="2863" t="s">
        <v>2699</v>
      </c>
      <c r="B274" s="2864"/>
      <c r="C274" s="2864"/>
      <c r="D274" s="2864"/>
      <c r="E274" s="2864"/>
      <c r="F274" s="2865"/>
      <c r="G274" s="2457">
        <f t="shared" ref="G274:N274" si="158">ROUND(G273*IF(AND(G92="駅施設",G93="無し"),0.7,IF(AND(G92="駅施設",G93="有り"),0.7,IF(AND(G92="地上建物",G93="無し"),0.9,IF(AND(G92="地上建物",G93="有り"),1,0)))),2)</f>
        <v>2.5099999999999998</v>
      </c>
      <c r="H274" s="2457">
        <f t="shared" si="158"/>
        <v>0</v>
      </c>
      <c r="I274" s="2457">
        <f t="shared" si="158"/>
        <v>0</v>
      </c>
      <c r="J274" s="2457">
        <f>ROUND(J273*IF(AND(J92="駅施設",J93="無し"),0.7,IF(AND(J92="駅施設",J93="有り"),0.7,IF(AND(J92="地上建物",J93="無し"),0.9,IF(AND(J92="地上建物",J93="有り"),1,0)))),2)</f>
        <v>0</v>
      </c>
      <c r="K274" s="2457">
        <f>ROUND(K273*IF(AND(K92="駅施設",K93="無し"),0.7,IF(AND(K92="駅施設",K93="有り"),0.7,IF(AND(K92="地上建物",K93="無し"),0.9,IF(AND(K92="地上建物",K93="有り"),1,0)))),2)</f>
        <v>0</v>
      </c>
      <c r="L274" s="2457">
        <f t="shared" si="158"/>
        <v>0</v>
      </c>
      <c r="M274" s="2457">
        <f t="shared" si="158"/>
        <v>0</v>
      </c>
      <c r="N274" s="2458">
        <f t="shared" si="158"/>
        <v>0</v>
      </c>
      <c r="O274" s="2454"/>
      <c r="P274" s="2454"/>
    </row>
    <row r="275" spans="1:16" ht="13.5" hidden="1" customHeight="1" thickBot="1">
      <c r="A275" s="1771"/>
      <c r="B275" s="1771"/>
      <c r="C275" s="1771"/>
      <c r="D275" s="1771"/>
      <c r="E275" s="2479"/>
      <c r="F275" s="2479"/>
      <c r="G275" s="2480"/>
      <c r="H275" s="2480"/>
      <c r="I275" s="2480"/>
      <c r="J275" s="2480"/>
      <c r="K275" s="2480"/>
      <c r="L275" s="2480"/>
      <c r="M275" s="2480"/>
      <c r="N275" s="2480"/>
    </row>
    <row r="276" spans="1:16" ht="13.5" hidden="1" customHeight="1">
      <c r="A276" s="2462"/>
      <c r="B276" s="2463"/>
      <c r="C276" s="2464" t="s">
        <v>2704</v>
      </c>
      <c r="D276" s="2465"/>
      <c r="E276" s="2463"/>
      <c r="F276" s="2466" t="s">
        <v>2690</v>
      </c>
      <c r="G276" s="2481">
        <f t="shared" ref="G276:N276" si="159">+G284</f>
        <v>0</v>
      </c>
      <c r="H276" s="2481">
        <f t="shared" si="159"/>
        <v>0</v>
      </c>
      <c r="I276" s="2481">
        <f t="shared" si="159"/>
        <v>0</v>
      </c>
      <c r="J276" s="2481">
        <f>+J284</f>
        <v>0</v>
      </c>
      <c r="K276" s="2481">
        <f>+K284</f>
        <v>0</v>
      </c>
      <c r="L276" s="2481">
        <f t="shared" si="159"/>
        <v>0</v>
      </c>
      <c r="M276" s="2481">
        <f t="shared" si="159"/>
        <v>0</v>
      </c>
      <c r="N276" s="2482">
        <f t="shared" si="159"/>
        <v>0</v>
      </c>
    </row>
    <row r="277" spans="1:16" ht="13.5" hidden="1" customHeight="1">
      <c r="A277" s="2847"/>
      <c r="B277" s="2849" t="s">
        <v>2691</v>
      </c>
      <c r="C277" s="2467" t="s">
        <v>2705</v>
      </c>
      <c r="D277" s="2042"/>
      <c r="E277" s="2468"/>
      <c r="F277" s="1990" t="s">
        <v>2817</v>
      </c>
      <c r="G277" s="2442">
        <f t="shared" ref="G277:N277" si="160">IF($F$178&lt;=10000000,ROUND(151.08*((10000)^-0.3396)*(G276^0.586),2),ROUND(151.08*(($F$178/1000)^-0.3396)*(G276^0.586),2))</f>
        <v>0</v>
      </c>
      <c r="H277" s="2442">
        <f t="shared" si="160"/>
        <v>0</v>
      </c>
      <c r="I277" s="2442">
        <f t="shared" si="160"/>
        <v>0</v>
      </c>
      <c r="J277" s="2442">
        <f>IF($F$178&lt;=10000000,ROUND(151.08*((10000)^-0.3396)*(J276^0.586),2),ROUND(151.08*(($F$178/1000)^-0.3396)*(J276^0.586),2))</f>
        <v>0</v>
      </c>
      <c r="K277" s="2442">
        <f>IF($F$178&lt;=10000000,ROUND(151.08*((10000)^-0.3396)*(K276^0.586),2),ROUND(151.08*(($F$178/1000)^-0.3396)*(K276^0.586),2))</f>
        <v>0</v>
      </c>
      <c r="L277" s="2442">
        <f t="shared" si="160"/>
        <v>0</v>
      </c>
      <c r="M277" s="2442">
        <f t="shared" si="160"/>
        <v>0</v>
      </c>
      <c r="N277" s="2443">
        <f t="shared" si="160"/>
        <v>0</v>
      </c>
    </row>
    <row r="278" spans="1:16" ht="13.5" hidden="1" customHeight="1">
      <c r="A278" s="2848"/>
      <c r="B278" s="2850"/>
      <c r="C278" s="2858" t="s">
        <v>2707</v>
      </c>
      <c r="D278" s="2051"/>
      <c r="E278" s="2469"/>
      <c r="F278" s="1990" t="s">
        <v>2695</v>
      </c>
      <c r="G278" s="2483">
        <f t="shared" ref="G278:N278" si="161">IF($F$178&lt;=10000000,ROUND(20.13,2),0)</f>
        <v>20.13</v>
      </c>
      <c r="H278" s="2483">
        <f t="shared" si="161"/>
        <v>20.13</v>
      </c>
      <c r="I278" s="2483">
        <f t="shared" si="161"/>
        <v>20.13</v>
      </c>
      <c r="J278" s="2483">
        <f t="shared" si="161"/>
        <v>20.13</v>
      </c>
      <c r="K278" s="2483">
        <f t="shared" si="161"/>
        <v>20.13</v>
      </c>
      <c r="L278" s="2483">
        <f t="shared" si="161"/>
        <v>20.13</v>
      </c>
      <c r="M278" s="2483">
        <f t="shared" si="161"/>
        <v>20.13</v>
      </c>
      <c r="N278" s="2484">
        <f t="shared" si="161"/>
        <v>20.13</v>
      </c>
    </row>
    <row r="279" spans="1:16" ht="13.5" hidden="1" customHeight="1">
      <c r="A279" s="2848"/>
      <c r="B279" s="2850"/>
      <c r="C279" s="2859"/>
      <c r="D279" s="2472"/>
      <c r="E279" s="2473"/>
      <c r="F279" s="1990" t="s">
        <v>2696</v>
      </c>
      <c r="G279" s="2483">
        <f t="shared" ref="G279:N279" si="162">IF($F$178&lt;=10000000,ROUND(10.01,2),0)</f>
        <v>10.01</v>
      </c>
      <c r="H279" s="2483">
        <f t="shared" si="162"/>
        <v>10.01</v>
      </c>
      <c r="I279" s="2483">
        <f t="shared" si="162"/>
        <v>10.01</v>
      </c>
      <c r="J279" s="2483">
        <f t="shared" si="162"/>
        <v>10.01</v>
      </c>
      <c r="K279" s="2483">
        <f t="shared" si="162"/>
        <v>10.01</v>
      </c>
      <c r="L279" s="2483">
        <f t="shared" si="162"/>
        <v>10.01</v>
      </c>
      <c r="M279" s="2483">
        <f t="shared" si="162"/>
        <v>10.01</v>
      </c>
      <c r="N279" s="2484">
        <f t="shared" si="162"/>
        <v>10.01</v>
      </c>
    </row>
    <row r="280" spans="1:16" ht="13.5" hidden="1" customHeight="1">
      <c r="A280" s="2848"/>
      <c r="B280" s="2850"/>
      <c r="C280" s="2858" t="s">
        <v>2708</v>
      </c>
      <c r="D280" s="2051"/>
      <c r="E280" s="2469"/>
      <c r="F280" s="1990" t="s">
        <v>2695</v>
      </c>
      <c r="G280" s="2485">
        <f t="shared" ref="G280:N280" si="163">IF($F$178&gt;10000000,ROUND(75.97*($F$178/1000)^-0.1442,2),0)</f>
        <v>0</v>
      </c>
      <c r="H280" s="2485">
        <f t="shared" si="163"/>
        <v>0</v>
      </c>
      <c r="I280" s="2485">
        <f t="shared" si="163"/>
        <v>0</v>
      </c>
      <c r="J280" s="2485">
        <f t="shared" si="163"/>
        <v>0</v>
      </c>
      <c r="K280" s="2485">
        <f t="shared" si="163"/>
        <v>0</v>
      </c>
      <c r="L280" s="2485">
        <f t="shared" si="163"/>
        <v>0</v>
      </c>
      <c r="M280" s="2485">
        <f t="shared" si="163"/>
        <v>0</v>
      </c>
      <c r="N280" s="2486">
        <f t="shared" si="163"/>
        <v>0</v>
      </c>
    </row>
    <row r="281" spans="1:16" ht="13.5" hidden="1" customHeight="1">
      <c r="A281" s="2856"/>
      <c r="B281" s="2857"/>
      <c r="C281" s="2859"/>
      <c r="D281" s="2472"/>
      <c r="E281" s="2473"/>
      <c r="F281" s="1990" t="s">
        <v>2696</v>
      </c>
      <c r="G281" s="2485">
        <f t="shared" ref="G281:N281" si="164">IF($F$178&gt;10000000,ROUND(37.76*($F$178/1000)^-0.1442,2),0)</f>
        <v>0</v>
      </c>
      <c r="H281" s="2485">
        <f t="shared" si="164"/>
        <v>0</v>
      </c>
      <c r="I281" s="2485">
        <f t="shared" si="164"/>
        <v>0</v>
      </c>
      <c r="J281" s="2485">
        <f t="shared" si="164"/>
        <v>0</v>
      </c>
      <c r="K281" s="2485">
        <f t="shared" si="164"/>
        <v>0</v>
      </c>
      <c r="L281" s="2485">
        <f t="shared" si="164"/>
        <v>0</v>
      </c>
      <c r="M281" s="2485">
        <f t="shared" si="164"/>
        <v>0</v>
      </c>
      <c r="N281" s="2486">
        <f t="shared" si="164"/>
        <v>0</v>
      </c>
    </row>
    <row r="282" spans="1:16" ht="13.5" hidden="1" customHeight="1" thickBot="1">
      <c r="A282" s="2853" t="s">
        <v>2709</v>
      </c>
      <c r="B282" s="2854"/>
      <c r="C282" s="2854"/>
      <c r="D282" s="2855"/>
      <c r="E282" s="2487"/>
      <c r="F282" s="2488"/>
      <c r="G282" s="2489">
        <f t="shared" ref="G282:N282" si="165">IF($F$178&lt;=10000000,IF(G$277&gt;G$278,G$278,IF(G$277&lt;G$279,G$279,G$277)),IF(G$277&gt;G$280,G$280,IF(G$277&lt;G$281,G$281,G$277)))</f>
        <v>10.01</v>
      </c>
      <c r="H282" s="2489">
        <f t="shared" si="165"/>
        <v>10.01</v>
      </c>
      <c r="I282" s="2489">
        <f t="shared" si="165"/>
        <v>10.01</v>
      </c>
      <c r="J282" s="2489">
        <f t="shared" si="165"/>
        <v>10.01</v>
      </c>
      <c r="K282" s="2489">
        <f t="shared" si="165"/>
        <v>10.01</v>
      </c>
      <c r="L282" s="2489">
        <f t="shared" si="165"/>
        <v>10.01</v>
      </c>
      <c r="M282" s="2489">
        <f t="shared" si="165"/>
        <v>10.01</v>
      </c>
      <c r="N282" s="2490">
        <f t="shared" si="165"/>
        <v>10.01</v>
      </c>
    </row>
    <row r="283" spans="1:16" ht="13.5" hidden="1" customHeight="1" thickBot="1">
      <c r="A283" s="1771"/>
      <c r="B283" s="1771"/>
      <c r="C283" s="1771"/>
      <c r="D283" s="1771"/>
      <c r="E283" s="1771"/>
      <c r="F283" s="1771"/>
      <c r="G283" s="2491"/>
      <c r="H283" s="2491"/>
      <c r="I283" s="2491"/>
      <c r="J283" s="2491"/>
      <c r="K283" s="2491"/>
      <c r="L283" s="2491"/>
      <c r="M283" s="2491"/>
      <c r="N283" s="2491"/>
    </row>
    <row r="284" spans="1:16" ht="13.5" hidden="1" customHeight="1">
      <c r="A284" s="2462"/>
      <c r="B284" s="2463"/>
      <c r="C284" s="2464" t="s">
        <v>2704</v>
      </c>
      <c r="D284" s="2465"/>
      <c r="E284" s="2463"/>
      <c r="F284" s="2466" t="s">
        <v>2690</v>
      </c>
      <c r="G284" s="2481">
        <f t="shared" ref="G284:N284" si="166">+G87</f>
        <v>0</v>
      </c>
      <c r="H284" s="2481">
        <f t="shared" si="166"/>
        <v>0</v>
      </c>
      <c r="I284" s="2481">
        <f t="shared" si="166"/>
        <v>0</v>
      </c>
      <c r="J284" s="2481">
        <f>+J87</f>
        <v>0</v>
      </c>
      <c r="K284" s="2481">
        <f>+K87</f>
        <v>0</v>
      </c>
      <c r="L284" s="2481">
        <f t="shared" si="166"/>
        <v>0</v>
      </c>
      <c r="M284" s="2481">
        <f t="shared" si="166"/>
        <v>0</v>
      </c>
      <c r="N284" s="2482">
        <f t="shared" si="166"/>
        <v>0</v>
      </c>
    </row>
    <row r="285" spans="1:16" ht="13.5" hidden="1" customHeight="1">
      <c r="A285" s="2847"/>
      <c r="B285" s="2849" t="s">
        <v>2700</v>
      </c>
      <c r="C285" s="2467" t="s">
        <v>2705</v>
      </c>
      <c r="D285" s="2042"/>
      <c r="E285" s="2468"/>
      <c r="F285" s="1990" t="s">
        <v>2925</v>
      </c>
      <c r="G285" s="2442">
        <f t="shared" ref="G285:N285" si="167">IF($F$178&lt;=5000000,ROUND(356.2*((5000)^-0.4085)*(G284^0.5766),2),ROUND(356.2*(($F$178/1000)^-0.4085)*(G284^0.5766),2))</f>
        <v>0</v>
      </c>
      <c r="H285" s="2442">
        <f t="shared" si="167"/>
        <v>0</v>
      </c>
      <c r="I285" s="2442">
        <f t="shared" si="167"/>
        <v>0</v>
      </c>
      <c r="J285" s="2442">
        <f>IF($F$178&lt;=5000000,ROUND(356.2*((5000)^-0.4085)*(J284^0.5766),2),ROUND(356.2*(($F$178/1000)^-0.4085)*(J284^0.5766),2))</f>
        <v>0</v>
      </c>
      <c r="K285" s="2442">
        <f>IF($F$178&lt;=5000000,ROUND(356.2*((5000)^-0.4085)*(K284^0.5766),2),ROUND(356.2*(($F$178/1000)^-0.4085)*(K284^0.5766),2))</f>
        <v>0</v>
      </c>
      <c r="L285" s="2442">
        <f t="shared" si="167"/>
        <v>0</v>
      </c>
      <c r="M285" s="2442">
        <f t="shared" si="167"/>
        <v>0</v>
      </c>
      <c r="N285" s="2443">
        <f t="shared" si="167"/>
        <v>0</v>
      </c>
    </row>
    <row r="286" spans="1:16" ht="13.5" hidden="1" customHeight="1">
      <c r="A286" s="2848"/>
      <c r="B286" s="2850"/>
      <c r="C286" s="2858" t="s">
        <v>2710</v>
      </c>
      <c r="D286" s="2051"/>
      <c r="E286" s="2469"/>
      <c r="F286" s="1990" t="s">
        <v>2695</v>
      </c>
      <c r="G286" s="2483">
        <f t="shared" ref="G286:N286" si="168">IF($F$178&lt;=5000000,ROUND(26.86,2),0)</f>
        <v>26.86</v>
      </c>
      <c r="H286" s="2483">
        <f t="shared" si="168"/>
        <v>26.86</v>
      </c>
      <c r="I286" s="2483">
        <f t="shared" si="168"/>
        <v>26.86</v>
      </c>
      <c r="J286" s="2483">
        <f t="shared" si="168"/>
        <v>26.86</v>
      </c>
      <c r="K286" s="2483">
        <f t="shared" si="168"/>
        <v>26.86</v>
      </c>
      <c r="L286" s="2483">
        <f t="shared" si="168"/>
        <v>26.86</v>
      </c>
      <c r="M286" s="2483">
        <f t="shared" si="168"/>
        <v>26.86</v>
      </c>
      <c r="N286" s="2484">
        <f t="shared" si="168"/>
        <v>26.86</v>
      </c>
    </row>
    <row r="287" spans="1:16" ht="13.5" hidden="1" customHeight="1">
      <c r="A287" s="2848"/>
      <c r="B287" s="2850"/>
      <c r="C287" s="2859"/>
      <c r="D287" s="2472"/>
      <c r="E287" s="2473"/>
      <c r="F287" s="1990" t="s">
        <v>2696</v>
      </c>
      <c r="G287" s="2483">
        <f t="shared" ref="G287:N287" si="169">IF($F$178&lt;=5000000,ROUND(12.7,2),0)</f>
        <v>12.7</v>
      </c>
      <c r="H287" s="2483">
        <f t="shared" si="169"/>
        <v>12.7</v>
      </c>
      <c r="I287" s="2483">
        <f t="shared" si="169"/>
        <v>12.7</v>
      </c>
      <c r="J287" s="2483">
        <f t="shared" si="169"/>
        <v>12.7</v>
      </c>
      <c r="K287" s="2483">
        <f t="shared" si="169"/>
        <v>12.7</v>
      </c>
      <c r="L287" s="2483">
        <f t="shared" si="169"/>
        <v>12.7</v>
      </c>
      <c r="M287" s="2483">
        <f t="shared" si="169"/>
        <v>12.7</v>
      </c>
      <c r="N287" s="2484">
        <f t="shared" si="169"/>
        <v>12.7</v>
      </c>
    </row>
    <row r="288" spans="1:16" ht="13.5" hidden="1" customHeight="1">
      <c r="A288" s="2848"/>
      <c r="B288" s="2850"/>
      <c r="C288" s="2858" t="s">
        <v>2711</v>
      </c>
      <c r="D288" s="2051"/>
      <c r="E288" s="2469"/>
      <c r="F288" s="1990" t="s">
        <v>2695</v>
      </c>
      <c r="G288" s="2485">
        <f t="shared" ref="G288:N288" si="170">IF($F$178&gt;5000000,ROUND(184.58*($F$178/1000)^-0.2263,2),0)</f>
        <v>0</v>
      </c>
      <c r="H288" s="2485">
        <f t="shared" si="170"/>
        <v>0</v>
      </c>
      <c r="I288" s="2485">
        <f t="shared" si="170"/>
        <v>0</v>
      </c>
      <c r="J288" s="2485">
        <f t="shared" si="170"/>
        <v>0</v>
      </c>
      <c r="K288" s="2485">
        <f t="shared" si="170"/>
        <v>0</v>
      </c>
      <c r="L288" s="2485">
        <f t="shared" si="170"/>
        <v>0</v>
      </c>
      <c r="M288" s="2485">
        <f t="shared" si="170"/>
        <v>0</v>
      </c>
      <c r="N288" s="2486">
        <f t="shared" si="170"/>
        <v>0</v>
      </c>
    </row>
    <row r="289" spans="1:14" ht="13.5" hidden="1" customHeight="1">
      <c r="A289" s="2856"/>
      <c r="B289" s="2857"/>
      <c r="C289" s="2859"/>
      <c r="D289" s="2472"/>
      <c r="E289" s="2473"/>
      <c r="F289" s="1990" t="s">
        <v>2696</v>
      </c>
      <c r="G289" s="2485">
        <f t="shared" ref="G289:N289" si="171">IF($F$178&gt;5000000,ROUND(87.29*($F$178/1000)^-0.2263,2),0)</f>
        <v>0</v>
      </c>
      <c r="H289" s="2485">
        <f t="shared" si="171"/>
        <v>0</v>
      </c>
      <c r="I289" s="2485">
        <f t="shared" si="171"/>
        <v>0</v>
      </c>
      <c r="J289" s="2485">
        <f t="shared" si="171"/>
        <v>0</v>
      </c>
      <c r="K289" s="2485">
        <f t="shared" si="171"/>
        <v>0</v>
      </c>
      <c r="L289" s="2485">
        <f t="shared" si="171"/>
        <v>0</v>
      </c>
      <c r="M289" s="2485">
        <f t="shared" si="171"/>
        <v>0</v>
      </c>
      <c r="N289" s="2486">
        <f t="shared" si="171"/>
        <v>0</v>
      </c>
    </row>
    <row r="290" spans="1:14" ht="13.5" hidden="1" customHeight="1" thickBot="1">
      <c r="A290" s="2853" t="s">
        <v>2709</v>
      </c>
      <c r="B290" s="2854"/>
      <c r="C290" s="2854"/>
      <c r="D290" s="2854"/>
      <c r="E290" s="2492"/>
      <c r="F290" s="2488"/>
      <c r="G290" s="2493">
        <f t="shared" ref="G290:N290" si="172">IF($F$178&lt;=5000000,IF(G$285&gt;G$286,G$286,IF(G$285&lt;G$287,G$287,G$285)),IF(G$285&gt;G$288,G$288,IF(G285&lt;G$289,G$289,G$285)))</f>
        <v>12.7</v>
      </c>
      <c r="H290" s="2493">
        <f t="shared" si="172"/>
        <v>12.7</v>
      </c>
      <c r="I290" s="2493">
        <f t="shared" si="172"/>
        <v>12.7</v>
      </c>
      <c r="J290" s="2493">
        <f>IF($F$178&lt;=5000000,IF(J$285&gt;J$286,J$286,IF(J$285&lt;J$287,J$287,J$285)),IF(J$285&gt;J$288,J$288,IF(J285&lt;J$289,J$289,J$285)))</f>
        <v>12.7</v>
      </c>
      <c r="K290" s="2493">
        <f>IF($F$178&lt;=5000000,IF(K$285&gt;K$286,K$286,IF(K$285&lt;K$287,K$287,K$285)),IF(K$285&gt;K$288,K$288,IF(K285&lt;K$289,K$289,K$285)))</f>
        <v>12.7</v>
      </c>
      <c r="L290" s="2493">
        <f t="shared" si="172"/>
        <v>12.7</v>
      </c>
      <c r="M290" s="2493">
        <f t="shared" si="172"/>
        <v>12.7</v>
      </c>
      <c r="N290" s="2494">
        <f t="shared" si="172"/>
        <v>12.7</v>
      </c>
    </row>
    <row r="291" spans="1:14" ht="13.5" hidden="1" customHeight="1" thickBot="1">
      <c r="A291" s="1771"/>
      <c r="B291" s="1771"/>
      <c r="C291" s="1771"/>
      <c r="D291" s="1771"/>
      <c r="E291" s="1771"/>
      <c r="F291" s="1771"/>
      <c r="G291" s="2495"/>
      <c r="H291" s="2495"/>
      <c r="I291" s="2495"/>
      <c r="J291" s="2495"/>
      <c r="K291" s="2495"/>
      <c r="L291" s="2495"/>
      <c r="M291" s="2495"/>
      <c r="N291" s="2495"/>
    </row>
    <row r="292" spans="1:14" ht="13.5" hidden="1" customHeight="1">
      <c r="A292" s="2462"/>
      <c r="B292" s="2463"/>
      <c r="C292" s="2464" t="s">
        <v>2712</v>
      </c>
      <c r="D292" s="2465"/>
      <c r="E292" s="2463"/>
      <c r="F292" s="2466"/>
      <c r="G292" s="2496"/>
      <c r="H292" s="2497"/>
      <c r="I292" s="2438"/>
      <c r="J292" s="2438"/>
      <c r="K292" s="2438"/>
      <c r="L292" s="2438"/>
      <c r="M292" s="2438"/>
      <c r="N292" s="2438"/>
    </row>
    <row r="293" spans="1:14" ht="13.5" hidden="1" customHeight="1">
      <c r="A293" s="2847"/>
      <c r="B293" s="2849" t="s">
        <v>79</v>
      </c>
      <c r="C293" s="2467" t="s">
        <v>2713</v>
      </c>
      <c r="D293" s="2042"/>
      <c r="E293" s="2468"/>
      <c r="F293" s="1990" t="s">
        <v>2818</v>
      </c>
      <c r="G293" s="2498" t="e">
        <f>ROUND(15.065-1.028*LOG($F$225/1000),2)</f>
        <v>#NUM!</v>
      </c>
      <c r="H293" s="2499"/>
      <c r="I293" s="2444"/>
      <c r="J293" s="2444"/>
      <c r="K293" s="2444"/>
      <c r="L293" s="2444"/>
      <c r="M293" s="2444"/>
      <c r="N293" s="2444"/>
    </row>
    <row r="294" spans="1:14" ht="13.5" hidden="1" customHeight="1">
      <c r="A294" s="2848"/>
      <c r="B294" s="2850"/>
      <c r="C294" s="2500" t="s">
        <v>2715</v>
      </c>
      <c r="D294" s="2051"/>
      <c r="E294" s="2051"/>
      <c r="F294" s="2501"/>
      <c r="G294" s="2502">
        <f>IF($F$225&lt;=5000000,11.26,0)</f>
        <v>11.26</v>
      </c>
      <c r="H294" s="2503"/>
      <c r="I294" s="2449"/>
      <c r="J294" s="2449"/>
      <c r="K294" s="2449"/>
      <c r="L294" s="2504"/>
      <c r="M294" s="2449"/>
      <c r="N294" s="2449"/>
    </row>
    <row r="295" spans="1:14" ht="13.5" hidden="1" customHeight="1">
      <c r="A295" s="2848"/>
      <c r="B295" s="2850"/>
      <c r="C295" s="2500" t="s">
        <v>2716</v>
      </c>
      <c r="D295" s="2051"/>
      <c r="E295" s="2042"/>
      <c r="F295" s="2501"/>
      <c r="G295" s="2502">
        <f>IF($F$225&gt;3000000000,8.41,0)</f>
        <v>0</v>
      </c>
      <c r="H295" s="2505"/>
      <c r="I295" s="2454"/>
      <c r="J295" s="2454"/>
      <c r="K295" s="2454"/>
      <c r="L295" s="2454"/>
      <c r="M295" s="2454"/>
      <c r="N295" s="2454"/>
    </row>
    <row r="296" spans="1:14" ht="13.5" hidden="1" customHeight="1" thickBot="1">
      <c r="A296" s="2851" t="s">
        <v>2717</v>
      </c>
      <c r="B296" s="2852"/>
      <c r="C296" s="2852"/>
      <c r="D296" s="2852"/>
      <c r="E296" s="2506"/>
      <c r="F296" s="2507"/>
      <c r="G296" s="2508">
        <f>IF($F$225&lt;=5000000,G294,IF($F$225&gt;3000000000,G295,G293))</f>
        <v>11.26</v>
      </c>
      <c r="H296" s="2509"/>
      <c r="I296" s="2510"/>
      <c r="J296" s="2510"/>
      <c r="K296" s="2510"/>
      <c r="L296" s="2510"/>
      <c r="M296" s="2510"/>
      <c r="N296" s="2510"/>
    </row>
    <row r="297" spans="1:14" ht="13.5" customHeight="1">
      <c r="A297" s="2511"/>
      <c r="B297" s="2512"/>
      <c r="C297" s="2512"/>
      <c r="D297" s="2512"/>
      <c r="E297" s="1771"/>
      <c r="F297" s="1771"/>
      <c r="G297" s="2478"/>
      <c r="H297" s="2478"/>
      <c r="I297" s="2478"/>
      <c r="J297" s="2478"/>
      <c r="K297" s="2478"/>
      <c r="L297" s="2478"/>
      <c r="M297" s="2478"/>
      <c r="N297" s="2478"/>
    </row>
    <row r="298" spans="1:14" ht="13.5" customHeight="1">
      <c r="A298" s="1714"/>
      <c r="B298" s="1714"/>
      <c r="C298" s="1715"/>
      <c r="D298" s="1715"/>
      <c r="E298" s="1716" t="s">
        <v>2513</v>
      </c>
      <c r="F298" s="1970" t="s">
        <v>2819</v>
      </c>
      <c r="G298" s="1971"/>
      <c r="H298" s="1971"/>
      <c r="I298" s="1724"/>
      <c r="J298" s="1724"/>
      <c r="K298" s="1724"/>
      <c r="L298" s="1724"/>
      <c r="M298" s="1972"/>
      <c r="N298" s="1720" t="s">
        <v>2830</v>
      </c>
    </row>
    <row r="299" spans="1:14" ht="13.5" customHeight="1">
      <c r="A299" s="1714"/>
      <c r="B299" s="1714"/>
      <c r="C299" s="1973" t="s">
        <v>2854</v>
      </c>
      <c r="D299" s="1974"/>
      <c r="E299" s="1715"/>
      <c r="F299" s="1715"/>
      <c r="G299" s="1975"/>
      <c r="H299" s="1724"/>
      <c r="I299" s="1724"/>
      <c r="J299" s="1724"/>
      <c r="K299" s="1724"/>
      <c r="L299" s="1724"/>
      <c r="M299" s="1714"/>
      <c r="N299" s="1976"/>
    </row>
    <row r="300" spans="1:14" ht="13.5" customHeight="1">
      <c r="A300" s="1977"/>
      <c r="B300" s="1978"/>
      <c r="C300" s="1979" t="s">
        <v>2522</v>
      </c>
      <c r="D300" s="1980"/>
      <c r="E300" s="1981"/>
      <c r="F300" s="1982" t="s">
        <v>2600</v>
      </c>
      <c r="G300" s="2513" t="str">
        <f t="shared" ref="G300:N301" si="173">G8</f>
        <v/>
      </c>
      <c r="H300" s="2513" t="str">
        <f t="shared" si="173"/>
        <v/>
      </c>
      <c r="I300" s="2513" t="str">
        <f t="shared" si="173"/>
        <v/>
      </c>
      <c r="J300" s="2513" t="str">
        <f t="shared" si="173"/>
        <v/>
      </c>
      <c r="K300" s="2513" t="str">
        <f t="shared" si="173"/>
        <v/>
      </c>
      <c r="L300" s="2513" t="str">
        <f t="shared" si="173"/>
        <v/>
      </c>
      <c r="M300" s="2513" t="str">
        <f t="shared" si="173"/>
        <v/>
      </c>
      <c r="N300" s="2514" t="str">
        <f t="shared" si="173"/>
        <v/>
      </c>
    </row>
    <row r="301" spans="1:14" ht="13.5" customHeight="1">
      <c r="A301" s="1986"/>
      <c r="B301" s="1987"/>
      <c r="C301" s="1988" t="s">
        <v>2524</v>
      </c>
      <c r="D301" s="1989"/>
      <c r="E301" s="1990"/>
      <c r="F301" s="1991" t="s">
        <v>2926</v>
      </c>
      <c r="G301" s="2515" t="str">
        <f>G9</f>
        <v>改修</v>
      </c>
      <c r="H301" s="2515" t="str">
        <f t="shared" si="173"/>
        <v/>
      </c>
      <c r="I301" s="2515" t="str">
        <f t="shared" si="173"/>
        <v/>
      </c>
      <c r="J301" s="2515" t="str">
        <f t="shared" si="173"/>
        <v/>
      </c>
      <c r="K301" s="2515" t="str">
        <f t="shared" si="173"/>
        <v/>
      </c>
      <c r="L301" s="2515" t="str">
        <f t="shared" si="173"/>
        <v/>
      </c>
      <c r="M301" s="2515" t="str">
        <f t="shared" si="173"/>
        <v/>
      </c>
      <c r="N301" s="2516" t="str">
        <f t="shared" si="173"/>
        <v/>
      </c>
    </row>
    <row r="302" spans="1:14" ht="13.5" customHeight="1">
      <c r="A302" s="1994"/>
      <c r="B302" s="1995"/>
      <c r="C302" s="1995" t="s">
        <v>2761</v>
      </c>
      <c r="D302" s="1995"/>
      <c r="E302" s="1996" t="s">
        <v>2603</v>
      </c>
      <c r="F302" s="1997" t="s">
        <v>2517</v>
      </c>
      <c r="G302" s="1998" t="s">
        <v>2857</v>
      </c>
      <c r="H302" s="1998" t="s">
        <v>2927</v>
      </c>
      <c r="I302" s="1998" t="s">
        <v>2928</v>
      </c>
      <c r="J302" s="1998" t="s">
        <v>2928</v>
      </c>
      <c r="K302" s="1998" t="s">
        <v>2928</v>
      </c>
      <c r="L302" s="1999" t="s">
        <v>2929</v>
      </c>
      <c r="M302" s="1999" t="s">
        <v>2930</v>
      </c>
      <c r="N302" s="2000" t="s">
        <v>2931</v>
      </c>
    </row>
    <row r="303" spans="1:14" ht="13.5" customHeight="1">
      <c r="A303" s="1768"/>
      <c r="B303" s="1749"/>
      <c r="C303" s="2001" t="s">
        <v>2604</v>
      </c>
      <c r="D303" s="2001"/>
      <c r="E303" s="2002" t="s">
        <v>2603</v>
      </c>
      <c r="F303" s="2003" t="s">
        <v>2605</v>
      </c>
      <c r="G303" s="2004"/>
      <c r="H303" s="2004"/>
      <c r="I303" s="2004"/>
      <c r="J303" s="2004"/>
      <c r="K303" s="2004"/>
      <c r="L303" s="2004"/>
      <c r="M303" s="2004"/>
      <c r="N303" s="2005"/>
    </row>
    <row r="304" spans="1:14" ht="13.5" customHeight="1">
      <c r="A304" s="1768"/>
      <c r="B304" s="1749"/>
      <c r="C304" s="2928" t="s">
        <v>2838</v>
      </c>
      <c r="D304" s="2928"/>
      <c r="E304" s="2928"/>
      <c r="F304" s="2929"/>
      <c r="G304" s="2517" t="str">
        <f>G10</f>
        <v>積上げ・率処理併用</v>
      </c>
      <c r="H304" s="2517" t="str">
        <f t="shared" ref="H304:N306" si="174">H10</f>
        <v/>
      </c>
      <c r="I304" s="2517" t="str">
        <f t="shared" si="174"/>
        <v/>
      </c>
      <c r="J304" s="2517" t="str">
        <f t="shared" si="174"/>
        <v/>
      </c>
      <c r="K304" s="2517" t="str">
        <f t="shared" si="174"/>
        <v/>
      </c>
      <c r="L304" s="2517" t="str">
        <f t="shared" si="174"/>
        <v/>
      </c>
      <c r="M304" s="2517" t="str">
        <f t="shared" si="174"/>
        <v/>
      </c>
      <c r="N304" s="2518" t="str">
        <f t="shared" si="174"/>
        <v/>
      </c>
    </row>
    <row r="305" spans="1:14" ht="30" customHeight="1">
      <c r="A305" s="2930" t="s">
        <v>2526</v>
      </c>
      <c r="B305" s="2931"/>
      <c r="C305" s="2931"/>
      <c r="D305" s="2931"/>
      <c r="E305" s="2931"/>
      <c r="F305" s="2932"/>
      <c r="G305" s="2519" t="str">
        <f>G11</f>
        <v>駅施設</v>
      </c>
      <c r="H305" s="2519" t="str">
        <f t="shared" si="174"/>
        <v/>
      </c>
      <c r="I305" s="2519" t="str">
        <f t="shared" si="174"/>
        <v/>
      </c>
      <c r="J305" s="2519" t="str">
        <f t="shared" si="174"/>
        <v/>
      </c>
      <c r="K305" s="2519" t="str">
        <f t="shared" si="174"/>
        <v/>
      </c>
      <c r="L305" s="2519" t="str">
        <f t="shared" si="174"/>
        <v/>
      </c>
      <c r="M305" s="2519" t="str">
        <f t="shared" si="174"/>
        <v/>
      </c>
      <c r="N305" s="2520" t="str">
        <f t="shared" si="174"/>
        <v/>
      </c>
    </row>
    <row r="306" spans="1:14" ht="30" customHeight="1">
      <c r="A306" s="2933" t="s">
        <v>2527</v>
      </c>
      <c r="B306" s="2934"/>
      <c r="C306" s="2934"/>
      <c r="D306" s="2934"/>
      <c r="E306" s="2934"/>
      <c r="F306" s="2935"/>
      <c r="G306" s="2521" t="str">
        <f>G12</f>
        <v>無し</v>
      </c>
      <c r="H306" s="2521" t="str">
        <f t="shared" si="174"/>
        <v/>
      </c>
      <c r="I306" s="2521" t="str">
        <f t="shared" si="174"/>
        <v/>
      </c>
      <c r="J306" s="2521" t="str">
        <f t="shared" si="174"/>
        <v/>
      </c>
      <c r="K306" s="2521" t="str">
        <f t="shared" si="174"/>
        <v/>
      </c>
      <c r="L306" s="2521" t="str">
        <f t="shared" si="174"/>
        <v/>
      </c>
      <c r="M306" s="2521" t="str">
        <f t="shared" si="174"/>
        <v/>
      </c>
      <c r="N306" s="2522" t="str">
        <f t="shared" si="174"/>
        <v/>
      </c>
    </row>
    <row r="307" spans="1:14" ht="13.5" customHeight="1">
      <c r="A307" s="1994"/>
      <c r="B307" s="2012" t="s">
        <v>2733</v>
      </c>
      <c r="C307" s="2013"/>
      <c r="D307" s="2013"/>
      <c r="E307" s="2014"/>
      <c r="F307" s="2015">
        <f t="shared" ref="F307:F318" si="175">SUM(G307:N307)</f>
        <v>0</v>
      </c>
      <c r="G307" s="2523">
        <f t="shared" ref="G307:N307" si="176">G13+G94</f>
        <v>0</v>
      </c>
      <c r="H307" s="2523">
        <f t="shared" si="176"/>
        <v>0</v>
      </c>
      <c r="I307" s="2523">
        <f t="shared" si="176"/>
        <v>0</v>
      </c>
      <c r="J307" s="2523">
        <f>J13+J94</f>
        <v>0</v>
      </c>
      <c r="K307" s="2523">
        <f>K13+K94</f>
        <v>0</v>
      </c>
      <c r="L307" s="2523">
        <f t="shared" si="176"/>
        <v>0</v>
      </c>
      <c r="M307" s="2523">
        <f t="shared" si="176"/>
        <v>0</v>
      </c>
      <c r="N307" s="2524">
        <f t="shared" si="176"/>
        <v>0</v>
      </c>
    </row>
    <row r="308" spans="1:14" ht="13.5" customHeight="1">
      <c r="A308" s="1768"/>
      <c r="B308" s="1791" t="s">
        <v>2530</v>
      </c>
      <c r="C308" s="2019"/>
      <c r="D308" s="2020"/>
      <c r="E308" s="2021"/>
      <c r="F308" s="2022">
        <f t="shared" si="175"/>
        <v>0</v>
      </c>
      <c r="G308" s="2023">
        <f t="shared" ref="G308:N308" si="177">SUM(G309:G310)</f>
        <v>0</v>
      </c>
      <c r="H308" s="2023">
        <f t="shared" si="177"/>
        <v>0</v>
      </c>
      <c r="I308" s="2023">
        <f t="shared" si="177"/>
        <v>0</v>
      </c>
      <c r="J308" s="2023">
        <f>SUM(J309:J310)</f>
        <v>0</v>
      </c>
      <c r="K308" s="2023">
        <f>SUM(K309:K310)</f>
        <v>0</v>
      </c>
      <c r="L308" s="2023">
        <f t="shared" si="177"/>
        <v>0</v>
      </c>
      <c r="M308" s="2023">
        <f t="shared" si="177"/>
        <v>0</v>
      </c>
      <c r="N308" s="2024">
        <f t="shared" si="177"/>
        <v>0</v>
      </c>
    </row>
    <row r="309" spans="1:14" ht="13.5" customHeight="1">
      <c r="A309" s="1768"/>
      <c r="B309" s="1791" t="s">
        <v>2531</v>
      </c>
      <c r="C309" s="2001"/>
      <c r="D309" s="2001"/>
      <c r="E309" s="2025"/>
      <c r="F309" s="2026">
        <f t="shared" si="175"/>
        <v>0</v>
      </c>
      <c r="G309" s="2027">
        <f t="shared" ref="G309:N309" si="178">G385</f>
        <v>0</v>
      </c>
      <c r="H309" s="2027">
        <f t="shared" si="178"/>
        <v>0</v>
      </c>
      <c r="I309" s="2027">
        <f t="shared" si="178"/>
        <v>0</v>
      </c>
      <c r="J309" s="2027">
        <f>J385</f>
        <v>0</v>
      </c>
      <c r="K309" s="2027">
        <f>K385</f>
        <v>0</v>
      </c>
      <c r="L309" s="2027">
        <f t="shared" si="178"/>
        <v>0</v>
      </c>
      <c r="M309" s="2027">
        <f t="shared" si="178"/>
        <v>0</v>
      </c>
      <c r="N309" s="2028">
        <f t="shared" si="178"/>
        <v>0</v>
      </c>
    </row>
    <row r="310" spans="1:14" ht="13.5" customHeight="1">
      <c r="A310" s="1768"/>
      <c r="B310" s="1791" t="s">
        <v>2537</v>
      </c>
      <c r="C310" s="2001"/>
      <c r="D310" s="2001"/>
      <c r="E310" s="2025"/>
      <c r="F310" s="2029">
        <f t="shared" si="175"/>
        <v>0</v>
      </c>
      <c r="G310" s="2525">
        <f t="shared" ref="G310:N311" si="179">G16+G97</f>
        <v>0</v>
      </c>
      <c r="H310" s="2525">
        <f t="shared" si="179"/>
        <v>0</v>
      </c>
      <c r="I310" s="2525">
        <f t="shared" si="179"/>
        <v>0</v>
      </c>
      <c r="J310" s="2525">
        <f>J16+J97</f>
        <v>0</v>
      </c>
      <c r="K310" s="2525">
        <f>K16+K97</f>
        <v>0</v>
      </c>
      <c r="L310" s="2525">
        <f t="shared" si="179"/>
        <v>0</v>
      </c>
      <c r="M310" s="2525">
        <f t="shared" si="179"/>
        <v>0</v>
      </c>
      <c r="N310" s="2526">
        <f t="shared" si="179"/>
        <v>0</v>
      </c>
    </row>
    <row r="311" spans="1:14" ht="13.5" customHeight="1">
      <c r="A311" s="1768"/>
      <c r="C311" s="2034" t="s">
        <v>2932</v>
      </c>
      <c r="D311" s="2035"/>
      <c r="E311" s="2036"/>
      <c r="F311" s="2037">
        <f t="shared" si="175"/>
        <v>0</v>
      </c>
      <c r="G311" s="2527">
        <f t="shared" si="179"/>
        <v>0</v>
      </c>
      <c r="H311" s="2527">
        <f t="shared" si="179"/>
        <v>0</v>
      </c>
      <c r="I311" s="2527">
        <f t="shared" si="179"/>
        <v>0</v>
      </c>
      <c r="J311" s="2527">
        <f>J17+J98</f>
        <v>0</v>
      </c>
      <c r="K311" s="2527">
        <f>K17+K98</f>
        <v>0</v>
      </c>
      <c r="L311" s="2527">
        <f t="shared" si="179"/>
        <v>0</v>
      </c>
      <c r="M311" s="2527">
        <f t="shared" si="179"/>
        <v>0</v>
      </c>
      <c r="N311" s="2528">
        <f t="shared" si="179"/>
        <v>0</v>
      </c>
    </row>
    <row r="312" spans="1:14" ht="13.5" hidden="1" customHeight="1">
      <c r="A312" s="2041"/>
      <c r="B312" s="2042"/>
      <c r="C312" s="2043" t="s">
        <v>2858</v>
      </c>
      <c r="D312" s="2044"/>
      <c r="E312" s="2045"/>
      <c r="F312" s="2046">
        <f t="shared" si="175"/>
        <v>0</v>
      </c>
      <c r="G312" s="2047"/>
      <c r="H312" s="2047"/>
      <c r="I312" s="2047"/>
      <c r="J312" s="2047"/>
      <c r="K312" s="2047"/>
      <c r="L312" s="2048"/>
      <c r="M312" s="2048"/>
      <c r="N312" s="2049"/>
    </row>
    <row r="313" spans="1:14" ht="13.5" hidden="1" customHeight="1">
      <c r="A313" s="2041"/>
      <c r="B313" s="2042"/>
      <c r="C313" s="2043" t="s">
        <v>2859</v>
      </c>
      <c r="D313" s="2044"/>
      <c r="E313" s="2045"/>
      <c r="F313" s="2046">
        <f t="shared" si="175"/>
        <v>0</v>
      </c>
      <c r="G313" s="2047"/>
      <c r="H313" s="2047"/>
      <c r="I313" s="2047"/>
      <c r="J313" s="2047"/>
      <c r="K313" s="2047"/>
      <c r="L313" s="2048"/>
      <c r="M313" s="2048"/>
      <c r="N313" s="2049"/>
    </row>
    <row r="314" spans="1:14" ht="13.5" hidden="1" customHeight="1">
      <c r="A314" s="2041"/>
      <c r="B314" s="2042"/>
      <c r="C314" s="2043" t="s">
        <v>2539</v>
      </c>
      <c r="D314" s="2044"/>
      <c r="E314" s="2045"/>
      <c r="F314" s="2046">
        <f t="shared" si="175"/>
        <v>0</v>
      </c>
      <c r="G314" s="2047"/>
      <c r="H314" s="2047"/>
      <c r="I314" s="2047"/>
      <c r="J314" s="2047"/>
      <c r="K314" s="2047"/>
      <c r="L314" s="2048"/>
      <c r="M314" s="2048"/>
      <c r="N314" s="2049"/>
    </row>
    <row r="315" spans="1:14" ht="13.5" hidden="1" customHeight="1">
      <c r="A315" s="2050"/>
      <c r="B315" s="2051"/>
      <c r="C315" s="2052" t="s">
        <v>2860</v>
      </c>
      <c r="D315" s="2053"/>
      <c r="E315" s="2036"/>
      <c r="F315" s="2054">
        <f t="shared" si="175"/>
        <v>0</v>
      </c>
      <c r="G315" s="2038"/>
      <c r="H315" s="2038"/>
      <c r="I315" s="2038"/>
      <c r="J315" s="2038"/>
      <c r="K315" s="2038"/>
      <c r="L315" s="2039"/>
      <c r="M315" s="2039"/>
      <c r="N315" s="2040"/>
    </row>
    <row r="316" spans="1:14" ht="13.5" hidden="1" customHeight="1">
      <c r="A316" s="2055"/>
      <c r="B316" s="2056"/>
      <c r="C316" s="2057" t="s">
        <v>2613</v>
      </c>
      <c r="D316" s="2058"/>
      <c r="E316" s="2059"/>
      <c r="F316" s="2060">
        <f t="shared" si="175"/>
        <v>0</v>
      </c>
      <c r="G316" s="2061"/>
      <c r="H316" s="2061"/>
      <c r="I316" s="2061"/>
      <c r="J316" s="2061"/>
      <c r="K316" s="2061"/>
      <c r="L316" s="2062"/>
      <c r="M316" s="2062"/>
      <c r="N316" s="2063"/>
    </row>
    <row r="317" spans="1:14" ht="13.5" customHeight="1">
      <c r="A317" s="1994"/>
      <c r="B317" s="2064" t="s">
        <v>2933</v>
      </c>
      <c r="C317" s="2065"/>
      <c r="D317" s="2065"/>
      <c r="E317" s="2066"/>
      <c r="F317" s="2015">
        <f t="shared" si="175"/>
        <v>0</v>
      </c>
      <c r="G317" s="2067">
        <f t="shared" ref="G317:N317" si="180">SUM(G392:G407)</f>
        <v>0</v>
      </c>
      <c r="H317" s="2067">
        <f t="shared" si="180"/>
        <v>0</v>
      </c>
      <c r="I317" s="2067">
        <f t="shared" si="180"/>
        <v>0</v>
      </c>
      <c r="J317" s="2067">
        <f>SUM(J392:J407)</f>
        <v>0</v>
      </c>
      <c r="K317" s="2067">
        <f>SUM(K392:K407)</f>
        <v>0</v>
      </c>
      <c r="L317" s="2067">
        <f t="shared" si="180"/>
        <v>0</v>
      </c>
      <c r="M317" s="2067">
        <f t="shared" si="180"/>
        <v>0</v>
      </c>
      <c r="N317" s="2068">
        <f t="shared" si="180"/>
        <v>0</v>
      </c>
    </row>
    <row r="318" spans="1:14" ht="13.5" customHeight="1">
      <c r="A318" s="1768"/>
      <c r="B318" s="1749"/>
      <c r="C318" s="2069" t="s">
        <v>2861</v>
      </c>
      <c r="D318" s="2070"/>
      <c r="E318" s="2071"/>
      <c r="F318" s="2022">
        <f t="shared" si="175"/>
        <v>0</v>
      </c>
      <c r="G318" s="2072">
        <f t="shared" ref="G318:N318" si="181">G317-G321</f>
        <v>0</v>
      </c>
      <c r="H318" s="2072">
        <f t="shared" si="181"/>
        <v>0</v>
      </c>
      <c r="I318" s="2072">
        <f t="shared" si="181"/>
        <v>0</v>
      </c>
      <c r="J318" s="2072">
        <f>J317-J321</f>
        <v>0</v>
      </c>
      <c r="K318" s="2072">
        <f>K317-K321</f>
        <v>0</v>
      </c>
      <c r="L318" s="2072">
        <f t="shared" si="181"/>
        <v>0</v>
      </c>
      <c r="M318" s="2072">
        <f t="shared" si="181"/>
        <v>0</v>
      </c>
      <c r="N318" s="2073">
        <f t="shared" si="181"/>
        <v>0</v>
      </c>
    </row>
    <row r="319" spans="1:14" ht="13.5" customHeight="1">
      <c r="A319" s="1768"/>
      <c r="B319" s="1749"/>
      <c r="C319" s="2074"/>
      <c r="D319" s="2074"/>
      <c r="E319" s="2075"/>
      <c r="F319" s="2076" t="s">
        <v>2765</v>
      </c>
      <c r="G319" s="2077">
        <f t="shared" ref="G319:N319" si="182">SUM(G396:G407)</f>
        <v>0</v>
      </c>
      <c r="H319" s="2077">
        <f t="shared" si="182"/>
        <v>0</v>
      </c>
      <c r="I319" s="2077">
        <f t="shared" si="182"/>
        <v>0</v>
      </c>
      <c r="J319" s="2077">
        <f>SUM(J396:J407)</f>
        <v>0</v>
      </c>
      <c r="K319" s="2077">
        <f>SUM(K396:K407)</f>
        <v>0</v>
      </c>
      <c r="L319" s="2077">
        <f t="shared" si="182"/>
        <v>0</v>
      </c>
      <c r="M319" s="2077">
        <f t="shared" si="182"/>
        <v>0</v>
      </c>
      <c r="N319" s="2078">
        <f t="shared" si="182"/>
        <v>0</v>
      </c>
    </row>
    <row r="320" spans="1:14" ht="13.5" customHeight="1">
      <c r="A320" s="1768"/>
      <c r="B320" s="1749"/>
      <c r="C320" s="2074"/>
      <c r="D320" s="2074"/>
      <c r="E320" s="2075"/>
      <c r="F320" s="2076" t="s">
        <v>2611</v>
      </c>
      <c r="G320" s="2077">
        <f t="shared" ref="G320:N320" si="183">SUM(G396:G403,G355)</f>
        <v>0</v>
      </c>
      <c r="H320" s="2077">
        <f t="shared" si="183"/>
        <v>0</v>
      </c>
      <c r="I320" s="2077">
        <f t="shared" si="183"/>
        <v>0</v>
      </c>
      <c r="J320" s="2077">
        <f>SUM(J396:J403,J355)</f>
        <v>0</v>
      </c>
      <c r="K320" s="2077">
        <f>SUM(K396:K403,K355)</f>
        <v>0</v>
      </c>
      <c r="L320" s="2077">
        <f t="shared" si="183"/>
        <v>0</v>
      </c>
      <c r="M320" s="2077">
        <f t="shared" si="183"/>
        <v>0</v>
      </c>
      <c r="N320" s="2078">
        <f t="shared" si="183"/>
        <v>0</v>
      </c>
    </row>
    <row r="321" spans="1:14" ht="13.5" customHeight="1">
      <c r="A321" s="2079"/>
      <c r="B321" s="2080"/>
      <c r="C321" s="2081" t="s">
        <v>2766</v>
      </c>
      <c r="D321" s="2081"/>
      <c r="E321" s="2082"/>
      <c r="F321" s="2083">
        <f t="shared" ref="F321:F330" si="184">SUM(G321:N321)</f>
        <v>0</v>
      </c>
      <c r="G321" s="2084">
        <f t="shared" ref="G321:N321" si="185">G311+G350+G351+G352+G355+G354+G395+G396</f>
        <v>0</v>
      </c>
      <c r="H321" s="2084">
        <f t="shared" si="185"/>
        <v>0</v>
      </c>
      <c r="I321" s="2084">
        <f t="shared" si="185"/>
        <v>0</v>
      </c>
      <c r="J321" s="2084">
        <f>J311+J350+J351+J352+J355+J354+J395+J396</f>
        <v>0</v>
      </c>
      <c r="K321" s="2084">
        <f>K311+K350+K351+K352+K355+K354+K395+K396</f>
        <v>0</v>
      </c>
      <c r="L321" s="2084">
        <f t="shared" si="185"/>
        <v>0</v>
      </c>
      <c r="M321" s="2084">
        <f t="shared" si="185"/>
        <v>0</v>
      </c>
      <c r="N321" s="2085">
        <f t="shared" si="185"/>
        <v>0</v>
      </c>
    </row>
    <row r="322" spans="1:14" ht="13.5" customHeight="1">
      <c r="A322" s="1768"/>
      <c r="B322" s="2086" t="s">
        <v>2767</v>
      </c>
      <c r="C322" s="2086"/>
      <c r="D322" s="2086"/>
      <c r="E322" s="2087"/>
      <c r="F322" s="2088">
        <f t="shared" si="184"/>
        <v>0</v>
      </c>
      <c r="G322" s="2089">
        <f t="shared" ref="G322:N322" si="186">G323+G326</f>
        <v>0</v>
      </c>
      <c r="H322" s="2089">
        <f t="shared" si="186"/>
        <v>0</v>
      </c>
      <c r="I322" s="2089">
        <f t="shared" si="186"/>
        <v>0</v>
      </c>
      <c r="J322" s="2089">
        <f>J323+J326</f>
        <v>0</v>
      </c>
      <c r="K322" s="2089">
        <f>K323+K326</f>
        <v>0</v>
      </c>
      <c r="L322" s="2089">
        <f t="shared" si="186"/>
        <v>0</v>
      </c>
      <c r="M322" s="2089">
        <f t="shared" si="186"/>
        <v>0</v>
      </c>
      <c r="N322" s="2090">
        <f t="shared" si="186"/>
        <v>0</v>
      </c>
    </row>
    <row r="323" spans="1:14" ht="13.5" customHeight="1">
      <c r="A323" s="1768"/>
      <c r="B323" s="1749"/>
      <c r="C323" s="2091" t="s">
        <v>2615</v>
      </c>
      <c r="D323" s="2091"/>
      <c r="E323" s="2092"/>
      <c r="F323" s="2022">
        <f t="shared" si="184"/>
        <v>0</v>
      </c>
      <c r="G323" s="2072">
        <f t="shared" ref="G323:N323" si="187">SUM(G324:G325)</f>
        <v>0</v>
      </c>
      <c r="H323" s="2072">
        <f t="shared" si="187"/>
        <v>0</v>
      </c>
      <c r="I323" s="2072">
        <f t="shared" si="187"/>
        <v>0</v>
      </c>
      <c r="J323" s="2072">
        <f>SUM(J324:J325)</f>
        <v>0</v>
      </c>
      <c r="K323" s="2072">
        <f>SUM(K324:K325)</f>
        <v>0</v>
      </c>
      <c r="L323" s="2072">
        <f t="shared" si="187"/>
        <v>0</v>
      </c>
      <c r="M323" s="2072">
        <f t="shared" si="187"/>
        <v>0</v>
      </c>
      <c r="N323" s="2073">
        <f t="shared" si="187"/>
        <v>0</v>
      </c>
    </row>
    <row r="324" spans="1:14" ht="13.5" customHeight="1">
      <c r="A324" s="1768"/>
      <c r="B324" s="1749"/>
      <c r="C324" s="2093" t="s">
        <v>2617</v>
      </c>
      <c r="D324" s="2093"/>
      <c r="E324" s="2075"/>
      <c r="F324" s="2094">
        <f t="shared" si="184"/>
        <v>0</v>
      </c>
      <c r="G324" s="2077">
        <f t="shared" ref="G324:N324" si="188">+G410+G412+G414+G415</f>
        <v>0</v>
      </c>
      <c r="H324" s="2077">
        <f t="shared" si="188"/>
        <v>0</v>
      </c>
      <c r="I324" s="2077">
        <f t="shared" si="188"/>
        <v>0</v>
      </c>
      <c r="J324" s="2077">
        <f>+J410+J412+J414+J415</f>
        <v>0</v>
      </c>
      <c r="K324" s="2077">
        <f>+K410+K412+K414+K415</f>
        <v>0</v>
      </c>
      <c r="L324" s="2077">
        <f t="shared" si="188"/>
        <v>0</v>
      </c>
      <c r="M324" s="2077">
        <f t="shared" si="188"/>
        <v>0</v>
      </c>
      <c r="N324" s="2078">
        <f t="shared" si="188"/>
        <v>0</v>
      </c>
    </row>
    <row r="325" spans="1:14" ht="13.5" customHeight="1">
      <c r="A325" s="1768"/>
      <c r="B325" s="1749"/>
      <c r="C325" s="2093" t="s">
        <v>2622</v>
      </c>
      <c r="D325" s="2093"/>
      <c r="E325" s="2075"/>
      <c r="F325" s="2094">
        <f t="shared" si="184"/>
        <v>0</v>
      </c>
      <c r="G325" s="2077">
        <f t="shared" ref="G325:N325" si="189">SUM(G416:G429)</f>
        <v>0</v>
      </c>
      <c r="H325" s="2077">
        <f t="shared" si="189"/>
        <v>0</v>
      </c>
      <c r="I325" s="2077">
        <f t="shared" si="189"/>
        <v>0</v>
      </c>
      <c r="J325" s="2077">
        <f>SUM(J416:J429)</f>
        <v>0</v>
      </c>
      <c r="K325" s="2077">
        <f>SUM(K416:K429)</f>
        <v>0</v>
      </c>
      <c r="L325" s="2077">
        <f t="shared" si="189"/>
        <v>0</v>
      </c>
      <c r="M325" s="2077">
        <f t="shared" si="189"/>
        <v>0</v>
      </c>
      <c r="N325" s="2078">
        <f t="shared" si="189"/>
        <v>0</v>
      </c>
    </row>
    <row r="326" spans="1:14" ht="13.5" customHeight="1">
      <c r="A326" s="2095"/>
      <c r="B326" s="2096"/>
      <c r="C326" s="2097" t="s">
        <v>2620</v>
      </c>
      <c r="D326" s="2097"/>
      <c r="E326" s="2098"/>
      <c r="F326" s="2099">
        <f t="shared" si="184"/>
        <v>0</v>
      </c>
      <c r="G326" s="2100">
        <f t="shared" ref="G326:N326" si="190">SUM(G327:G329)</f>
        <v>0</v>
      </c>
      <c r="H326" s="2100">
        <f t="shared" si="190"/>
        <v>0</v>
      </c>
      <c r="I326" s="2100">
        <f t="shared" si="190"/>
        <v>0</v>
      </c>
      <c r="J326" s="2100">
        <f>SUM(J327:J329)</f>
        <v>0</v>
      </c>
      <c r="K326" s="2100">
        <f>SUM(K327:K329)</f>
        <v>0</v>
      </c>
      <c r="L326" s="2100">
        <f t="shared" si="190"/>
        <v>0</v>
      </c>
      <c r="M326" s="2100">
        <f t="shared" si="190"/>
        <v>0</v>
      </c>
      <c r="N326" s="2101">
        <f t="shared" si="190"/>
        <v>0</v>
      </c>
    </row>
    <row r="327" spans="1:14" ht="13.5" customHeight="1">
      <c r="A327" s="2095"/>
      <c r="B327" s="2096"/>
      <c r="C327" s="2102" t="s">
        <v>2617</v>
      </c>
      <c r="D327" s="2102"/>
      <c r="E327" s="2098"/>
      <c r="F327" s="2099">
        <f t="shared" si="184"/>
        <v>0</v>
      </c>
      <c r="G327" s="2100">
        <f t="shared" ref="G327:N327" si="191">+G452-G467</f>
        <v>0</v>
      </c>
      <c r="H327" s="2100">
        <f t="shared" si="191"/>
        <v>0</v>
      </c>
      <c r="I327" s="2100">
        <f t="shared" si="191"/>
        <v>0</v>
      </c>
      <c r="J327" s="2100">
        <f>+J452-J467</f>
        <v>0</v>
      </c>
      <c r="K327" s="2100">
        <f>+K452-K467</f>
        <v>0</v>
      </c>
      <c r="L327" s="2100">
        <f t="shared" si="191"/>
        <v>0</v>
      </c>
      <c r="M327" s="2100">
        <f t="shared" si="191"/>
        <v>0</v>
      </c>
      <c r="N327" s="2101">
        <f t="shared" si="191"/>
        <v>0</v>
      </c>
    </row>
    <row r="328" spans="1:14" ht="13.5" customHeight="1">
      <c r="A328" s="2095"/>
      <c r="B328" s="2096"/>
      <c r="C328" s="2102" t="s">
        <v>2621</v>
      </c>
      <c r="D328" s="2102"/>
      <c r="E328" s="2098"/>
      <c r="F328" s="2099">
        <f t="shared" si="184"/>
        <v>0</v>
      </c>
      <c r="G328" s="2100">
        <f t="shared" ref="G328:N328" si="192">+G453+G454</f>
        <v>0</v>
      </c>
      <c r="H328" s="2100">
        <f t="shared" si="192"/>
        <v>0</v>
      </c>
      <c r="I328" s="2100">
        <f t="shared" si="192"/>
        <v>0</v>
      </c>
      <c r="J328" s="2100">
        <f>+J453+J454</f>
        <v>0</v>
      </c>
      <c r="K328" s="2100">
        <f>+K453+K454</f>
        <v>0</v>
      </c>
      <c r="L328" s="2100">
        <f t="shared" si="192"/>
        <v>0</v>
      </c>
      <c r="M328" s="2100">
        <f t="shared" si="192"/>
        <v>0</v>
      </c>
      <c r="N328" s="2101">
        <f t="shared" si="192"/>
        <v>0</v>
      </c>
    </row>
    <row r="329" spans="1:14" ht="13.5" customHeight="1">
      <c r="A329" s="2095"/>
      <c r="B329" s="2103"/>
      <c r="C329" s="2035" t="s">
        <v>2622</v>
      </c>
      <c r="D329" s="2035"/>
      <c r="E329" s="2104"/>
      <c r="F329" s="2105">
        <f t="shared" si="184"/>
        <v>0</v>
      </c>
      <c r="G329" s="2106">
        <f t="shared" ref="G329:N329" si="193">SUM(G455:G459)</f>
        <v>0</v>
      </c>
      <c r="H329" s="2106">
        <f t="shared" si="193"/>
        <v>0</v>
      </c>
      <c r="I329" s="2106">
        <f t="shared" si="193"/>
        <v>0</v>
      </c>
      <c r="J329" s="2106">
        <f>SUM(J455:J459)</f>
        <v>0</v>
      </c>
      <c r="K329" s="2106">
        <f>SUM(K455:K459)</f>
        <v>0</v>
      </c>
      <c r="L329" s="2106">
        <f t="shared" si="193"/>
        <v>0</v>
      </c>
      <c r="M329" s="2106">
        <f t="shared" si="193"/>
        <v>0</v>
      </c>
      <c r="N329" s="2107">
        <f t="shared" si="193"/>
        <v>0</v>
      </c>
    </row>
    <row r="330" spans="1:14" ht="13.5" customHeight="1">
      <c r="A330" s="2108"/>
      <c r="B330" s="2065" t="s">
        <v>2768</v>
      </c>
      <c r="C330" s="2109"/>
      <c r="D330" s="2065"/>
      <c r="E330" s="2110"/>
      <c r="F330" s="2015">
        <f t="shared" si="184"/>
        <v>0</v>
      </c>
      <c r="G330" s="2111">
        <f t="shared" ref="G330:N330" si="194">G317+G322</f>
        <v>0</v>
      </c>
      <c r="H330" s="2111">
        <f t="shared" si="194"/>
        <v>0</v>
      </c>
      <c r="I330" s="2111">
        <f t="shared" si="194"/>
        <v>0</v>
      </c>
      <c r="J330" s="2111">
        <f>J317+J322</f>
        <v>0</v>
      </c>
      <c r="K330" s="2111">
        <f>K317+K322</f>
        <v>0</v>
      </c>
      <c r="L330" s="2111">
        <f t="shared" si="194"/>
        <v>0</v>
      </c>
      <c r="M330" s="2111">
        <f t="shared" si="194"/>
        <v>0</v>
      </c>
      <c r="N330" s="2112">
        <f t="shared" si="194"/>
        <v>0</v>
      </c>
    </row>
    <row r="331" spans="1:14" ht="13.5" customHeight="1">
      <c r="A331" s="2013"/>
      <c r="B331" s="2013"/>
      <c r="C331" s="2113" t="s">
        <v>2824</v>
      </c>
      <c r="D331" s="2113"/>
      <c r="E331" s="2114"/>
      <c r="F331" s="2115"/>
      <c r="G331" s="2116" t="s">
        <v>2626</v>
      </c>
      <c r="H331" s="2117"/>
      <c r="I331" s="2117"/>
      <c r="J331" s="2117"/>
      <c r="K331" s="2117"/>
      <c r="L331" s="2117"/>
      <c r="M331" s="2117"/>
      <c r="N331" s="2117"/>
    </row>
    <row r="332" spans="1:14" ht="13.5" customHeight="1">
      <c r="A332" s="1994"/>
      <c r="B332" s="1995"/>
      <c r="C332" s="1995"/>
      <c r="D332" s="1995"/>
      <c r="E332" s="1997"/>
      <c r="F332" s="1997" t="s">
        <v>2517</v>
      </c>
      <c r="G332" s="1999" t="str">
        <f t="shared" ref="G332:N332" si="195">+G302</f>
        <v>工事１</v>
      </c>
      <c r="H332" s="1999" t="str">
        <f t="shared" si="195"/>
        <v>工事２</v>
      </c>
      <c r="I332" s="1999" t="str">
        <f t="shared" si="195"/>
        <v>工事３</v>
      </c>
      <c r="J332" s="1999" t="str">
        <f>+J302</f>
        <v>工事３</v>
      </c>
      <c r="K332" s="1999" t="str">
        <f>+K302</f>
        <v>工事３</v>
      </c>
      <c r="L332" s="1999" t="str">
        <f t="shared" si="195"/>
        <v>工事４</v>
      </c>
      <c r="M332" s="1999" t="str">
        <f t="shared" si="195"/>
        <v>工事５</v>
      </c>
      <c r="N332" s="2000" t="str">
        <f t="shared" si="195"/>
        <v>工事６</v>
      </c>
    </row>
    <row r="333" spans="1:14" ht="13.5" customHeight="1">
      <c r="A333" s="2119" t="s">
        <v>2769</v>
      </c>
      <c r="B333" s="2120"/>
      <c r="C333" s="2121"/>
      <c r="D333" s="2121"/>
      <c r="E333" s="2122"/>
      <c r="F333" s="2123"/>
      <c r="G333" s="2124"/>
      <c r="H333" s="2124"/>
      <c r="I333" s="2124"/>
      <c r="J333" s="2124"/>
      <c r="K333" s="2124"/>
      <c r="L333" s="2124"/>
      <c r="M333" s="2124"/>
      <c r="N333" s="2125"/>
    </row>
    <row r="334" spans="1:14" ht="13.5" customHeight="1">
      <c r="A334" s="2916"/>
      <c r="B334" s="2919" t="s">
        <v>2740</v>
      </c>
      <c r="C334" s="2070" t="s">
        <v>2542</v>
      </c>
      <c r="D334" s="2070"/>
      <c r="E334" s="2092"/>
      <c r="F334" s="2022">
        <f t="shared" ref="F334:F355" si="196">SUM(G334:N334)</f>
        <v>0</v>
      </c>
      <c r="G334" s="2529">
        <f t="shared" ref="G334:N336" si="197">G22+G121</f>
        <v>0</v>
      </c>
      <c r="H334" s="2529">
        <f t="shared" si="197"/>
        <v>0</v>
      </c>
      <c r="I334" s="2529">
        <f t="shared" si="197"/>
        <v>0</v>
      </c>
      <c r="J334" s="2529">
        <f t="shared" si="197"/>
        <v>0</v>
      </c>
      <c r="K334" s="2529">
        <f t="shared" si="197"/>
        <v>0</v>
      </c>
      <c r="L334" s="2529">
        <f t="shared" si="197"/>
        <v>0</v>
      </c>
      <c r="M334" s="2529">
        <f t="shared" si="197"/>
        <v>0</v>
      </c>
      <c r="N334" s="2530">
        <f t="shared" si="197"/>
        <v>0</v>
      </c>
    </row>
    <row r="335" spans="1:14" ht="13.5" customHeight="1">
      <c r="A335" s="2917"/>
      <c r="B335" s="2920"/>
      <c r="C335" s="2128" t="s">
        <v>2864</v>
      </c>
      <c r="D335" s="2128"/>
      <c r="E335" s="2129"/>
      <c r="F335" s="2130">
        <f t="shared" si="196"/>
        <v>0</v>
      </c>
      <c r="G335" s="2077">
        <f t="shared" si="197"/>
        <v>0</v>
      </c>
      <c r="H335" s="2077">
        <f t="shared" si="197"/>
        <v>0</v>
      </c>
      <c r="I335" s="2077">
        <f t="shared" si="197"/>
        <v>0</v>
      </c>
      <c r="J335" s="2077">
        <f t="shared" si="197"/>
        <v>0</v>
      </c>
      <c r="K335" s="2077">
        <f t="shared" si="197"/>
        <v>0</v>
      </c>
      <c r="L335" s="2077">
        <f t="shared" si="197"/>
        <v>0</v>
      </c>
      <c r="M335" s="2077">
        <f t="shared" si="197"/>
        <v>0</v>
      </c>
      <c r="N335" s="2078">
        <f t="shared" si="197"/>
        <v>0</v>
      </c>
    </row>
    <row r="336" spans="1:14" ht="13.5" customHeight="1">
      <c r="A336" s="2917"/>
      <c r="B336" s="2920"/>
      <c r="C336" s="2133" t="s">
        <v>2865</v>
      </c>
      <c r="D336" s="2133"/>
      <c r="E336" s="2134"/>
      <c r="F336" s="2094">
        <f t="shared" si="196"/>
        <v>0</v>
      </c>
      <c r="G336" s="2077">
        <f t="shared" si="197"/>
        <v>0</v>
      </c>
      <c r="H336" s="2077">
        <f t="shared" si="197"/>
        <v>0</v>
      </c>
      <c r="I336" s="2077">
        <f t="shared" si="197"/>
        <v>0</v>
      </c>
      <c r="J336" s="2077">
        <f t="shared" si="197"/>
        <v>0</v>
      </c>
      <c r="K336" s="2077">
        <f t="shared" si="197"/>
        <v>0</v>
      </c>
      <c r="L336" s="2077">
        <f t="shared" si="197"/>
        <v>0</v>
      </c>
      <c r="M336" s="2077">
        <f t="shared" si="197"/>
        <v>0</v>
      </c>
      <c r="N336" s="2078">
        <f t="shared" si="197"/>
        <v>0</v>
      </c>
    </row>
    <row r="337" spans="1:14" ht="13.5" customHeight="1">
      <c r="A337" s="2917"/>
      <c r="B337" s="2921"/>
      <c r="C337" s="2135" t="s">
        <v>2866</v>
      </c>
      <c r="D337" s="2136"/>
      <c r="E337" s="2075"/>
      <c r="F337" s="2094">
        <f t="shared" si="196"/>
        <v>0</v>
      </c>
      <c r="G337" s="2077">
        <f t="shared" ref="G337:N337" si="198">IF(G304="積上げ",0,G385)</f>
        <v>0</v>
      </c>
      <c r="H337" s="2077">
        <f t="shared" si="198"/>
        <v>0</v>
      </c>
      <c r="I337" s="2077">
        <f t="shared" si="198"/>
        <v>0</v>
      </c>
      <c r="J337" s="2077">
        <f>IF(J304="積上げ",0,J385)</f>
        <v>0</v>
      </c>
      <c r="K337" s="2077">
        <f>IF(K304="積上げ",0,K385)</f>
        <v>0</v>
      </c>
      <c r="L337" s="2077">
        <f t="shared" si="198"/>
        <v>0</v>
      </c>
      <c r="M337" s="2077">
        <f t="shared" si="198"/>
        <v>0</v>
      </c>
      <c r="N337" s="2078">
        <f t="shared" si="198"/>
        <v>0</v>
      </c>
    </row>
    <row r="338" spans="1:14" ht="13.5" customHeight="1">
      <c r="A338" s="2917"/>
      <c r="B338" s="2922" t="s">
        <v>2741</v>
      </c>
      <c r="C338" s="2923" t="s">
        <v>2867</v>
      </c>
      <c r="D338" s="2924"/>
      <c r="E338" s="2925"/>
      <c r="F338" s="2094">
        <f t="shared" si="196"/>
        <v>0</v>
      </c>
      <c r="G338" s="2077">
        <f t="shared" ref="G338:N343" si="199">G26+G125</f>
        <v>0</v>
      </c>
      <c r="H338" s="2077">
        <f t="shared" si="199"/>
        <v>0</v>
      </c>
      <c r="I338" s="2077">
        <f t="shared" si="199"/>
        <v>0</v>
      </c>
      <c r="J338" s="2077">
        <f t="shared" si="199"/>
        <v>0</v>
      </c>
      <c r="K338" s="2077">
        <f t="shared" si="199"/>
        <v>0</v>
      </c>
      <c r="L338" s="2077">
        <f t="shared" si="199"/>
        <v>0</v>
      </c>
      <c r="M338" s="2077">
        <f t="shared" si="199"/>
        <v>0</v>
      </c>
      <c r="N338" s="2078">
        <f t="shared" si="199"/>
        <v>0</v>
      </c>
    </row>
    <row r="339" spans="1:14" ht="13.5" customHeight="1">
      <c r="A339" s="2917"/>
      <c r="B339" s="2920"/>
      <c r="C339" s="2136" t="s">
        <v>2934</v>
      </c>
      <c r="D339" s="2136"/>
      <c r="E339" s="2075"/>
      <c r="F339" s="2076">
        <f t="shared" si="196"/>
        <v>0</v>
      </c>
      <c r="G339" s="2531">
        <f t="shared" si="199"/>
        <v>0</v>
      </c>
      <c r="H339" s="2531">
        <f t="shared" si="199"/>
        <v>0</v>
      </c>
      <c r="I339" s="2531">
        <f t="shared" si="199"/>
        <v>0</v>
      </c>
      <c r="J339" s="2531">
        <f t="shared" si="199"/>
        <v>0</v>
      </c>
      <c r="K339" s="2531">
        <f t="shared" si="199"/>
        <v>0</v>
      </c>
      <c r="L339" s="2531">
        <f t="shared" si="199"/>
        <v>0</v>
      </c>
      <c r="M339" s="2531">
        <f t="shared" si="199"/>
        <v>0</v>
      </c>
      <c r="N339" s="2532">
        <f t="shared" si="199"/>
        <v>0</v>
      </c>
    </row>
    <row r="340" spans="1:14" ht="13.5" customHeight="1">
      <c r="A340" s="2917"/>
      <c r="B340" s="2920"/>
      <c r="C340" s="2144" t="s">
        <v>2869</v>
      </c>
      <c r="D340" s="2136"/>
      <c r="E340" s="2075"/>
      <c r="F340" s="2076">
        <f t="shared" si="196"/>
        <v>0</v>
      </c>
      <c r="G340" s="2531">
        <f t="shared" si="199"/>
        <v>0</v>
      </c>
      <c r="H340" s="2531">
        <f t="shared" si="199"/>
        <v>0</v>
      </c>
      <c r="I340" s="2531">
        <f t="shared" si="199"/>
        <v>0</v>
      </c>
      <c r="J340" s="2531">
        <f t="shared" si="199"/>
        <v>0</v>
      </c>
      <c r="K340" s="2531">
        <f t="shared" si="199"/>
        <v>0</v>
      </c>
      <c r="L340" s="2531">
        <f t="shared" si="199"/>
        <v>0</v>
      </c>
      <c r="M340" s="2531">
        <f t="shared" si="199"/>
        <v>0</v>
      </c>
      <c r="N340" s="2532">
        <f t="shared" si="199"/>
        <v>0</v>
      </c>
    </row>
    <row r="341" spans="1:14" ht="13.5" customHeight="1">
      <c r="A341" s="2917"/>
      <c r="B341" s="2920"/>
      <c r="C341" s="2136" t="s">
        <v>2935</v>
      </c>
      <c r="D341" s="2136"/>
      <c r="E341" s="2075"/>
      <c r="F341" s="2076">
        <f t="shared" si="196"/>
        <v>0</v>
      </c>
      <c r="G341" s="2531">
        <f t="shared" si="199"/>
        <v>0</v>
      </c>
      <c r="H341" s="2531">
        <f t="shared" si="199"/>
        <v>0</v>
      </c>
      <c r="I341" s="2531">
        <f t="shared" si="199"/>
        <v>0</v>
      </c>
      <c r="J341" s="2531">
        <f t="shared" si="199"/>
        <v>0</v>
      </c>
      <c r="K341" s="2531">
        <f t="shared" si="199"/>
        <v>0</v>
      </c>
      <c r="L341" s="2531">
        <f t="shared" si="199"/>
        <v>0</v>
      </c>
      <c r="M341" s="2531">
        <f t="shared" si="199"/>
        <v>0</v>
      </c>
      <c r="N341" s="2532">
        <f t="shared" si="199"/>
        <v>0</v>
      </c>
    </row>
    <row r="342" spans="1:14" ht="13.5" customHeight="1">
      <c r="A342" s="2917"/>
      <c r="B342" s="2920"/>
      <c r="C342" s="2136" t="s">
        <v>2936</v>
      </c>
      <c r="D342" s="2136"/>
      <c r="E342" s="2075"/>
      <c r="F342" s="2076">
        <f t="shared" si="196"/>
        <v>0</v>
      </c>
      <c r="G342" s="2531">
        <f t="shared" si="199"/>
        <v>0</v>
      </c>
      <c r="H342" s="2531">
        <f t="shared" si="199"/>
        <v>0</v>
      </c>
      <c r="I342" s="2531">
        <f t="shared" si="199"/>
        <v>0</v>
      </c>
      <c r="J342" s="2531">
        <f t="shared" si="199"/>
        <v>0</v>
      </c>
      <c r="K342" s="2531">
        <f t="shared" si="199"/>
        <v>0</v>
      </c>
      <c r="L342" s="2531">
        <f t="shared" si="199"/>
        <v>0</v>
      </c>
      <c r="M342" s="2531">
        <f t="shared" si="199"/>
        <v>0</v>
      </c>
      <c r="N342" s="2532">
        <f t="shared" si="199"/>
        <v>0</v>
      </c>
    </row>
    <row r="343" spans="1:14" ht="13.5" customHeight="1">
      <c r="A343" s="2917"/>
      <c r="B343" s="2920"/>
      <c r="C343" s="2145" t="s">
        <v>2937</v>
      </c>
      <c r="D343" s="2136"/>
      <c r="E343" s="2075"/>
      <c r="F343" s="2076">
        <f t="shared" si="196"/>
        <v>0</v>
      </c>
      <c r="G343" s="2531">
        <f t="shared" si="199"/>
        <v>0</v>
      </c>
      <c r="H343" s="2531">
        <f t="shared" si="199"/>
        <v>0</v>
      </c>
      <c r="I343" s="2531">
        <f t="shared" si="199"/>
        <v>0</v>
      </c>
      <c r="J343" s="2531">
        <f t="shared" si="199"/>
        <v>0</v>
      </c>
      <c r="K343" s="2531">
        <f t="shared" si="199"/>
        <v>0</v>
      </c>
      <c r="L343" s="2531">
        <f t="shared" si="199"/>
        <v>0</v>
      </c>
      <c r="M343" s="2531">
        <f t="shared" si="199"/>
        <v>0</v>
      </c>
      <c r="N343" s="2532">
        <f t="shared" si="199"/>
        <v>0</v>
      </c>
    </row>
    <row r="344" spans="1:14" ht="13.5" customHeight="1">
      <c r="A344" s="2917"/>
      <c r="B344" s="2920"/>
      <c r="C344" s="2136"/>
      <c r="D344" s="2136"/>
      <c r="E344" s="2075"/>
      <c r="F344" s="2076">
        <f t="shared" si="196"/>
        <v>0</v>
      </c>
      <c r="G344" s="1914"/>
      <c r="H344" s="1914"/>
      <c r="I344" s="1914"/>
      <c r="J344" s="1914"/>
      <c r="K344" s="1914"/>
      <c r="L344" s="2146"/>
      <c r="M344" s="2146"/>
      <c r="N344" s="2147"/>
    </row>
    <row r="345" spans="1:14" ht="13.5" customHeight="1">
      <c r="A345" s="2917"/>
      <c r="B345" s="2921"/>
      <c r="C345" s="2148"/>
      <c r="D345" s="2149"/>
      <c r="E345" s="2150"/>
      <c r="F345" s="2076">
        <f t="shared" si="196"/>
        <v>0</v>
      </c>
      <c r="G345" s="1914"/>
      <c r="H345" s="1914"/>
      <c r="I345" s="1914"/>
      <c r="J345" s="1914"/>
      <c r="K345" s="1914"/>
      <c r="L345" s="2146"/>
      <c r="M345" s="2146"/>
      <c r="N345" s="2147"/>
    </row>
    <row r="346" spans="1:14" ht="13.5" customHeight="1">
      <c r="A346" s="2917"/>
      <c r="B346" s="2922" t="s">
        <v>477</v>
      </c>
      <c r="C346" s="2151" t="s">
        <v>2938</v>
      </c>
      <c r="D346" s="2136"/>
      <c r="E346" s="2075"/>
      <c r="F346" s="2076">
        <f t="shared" si="196"/>
        <v>0</v>
      </c>
      <c r="G346" s="2533">
        <f t="shared" ref="G346:N355" si="200">G34+G133</f>
        <v>0</v>
      </c>
      <c r="H346" s="2533">
        <f t="shared" si="200"/>
        <v>0</v>
      </c>
      <c r="I346" s="2533">
        <f t="shared" si="200"/>
        <v>0</v>
      </c>
      <c r="J346" s="2533">
        <f t="shared" si="200"/>
        <v>0</v>
      </c>
      <c r="K346" s="2533">
        <f t="shared" si="200"/>
        <v>0</v>
      </c>
      <c r="L346" s="2533">
        <f t="shared" si="200"/>
        <v>0</v>
      </c>
      <c r="M346" s="2533">
        <f t="shared" si="200"/>
        <v>0</v>
      </c>
      <c r="N346" s="2534">
        <f t="shared" si="200"/>
        <v>0</v>
      </c>
    </row>
    <row r="347" spans="1:14" ht="13.5" customHeight="1">
      <c r="A347" s="2917"/>
      <c r="B347" s="2920"/>
      <c r="C347" s="2152" t="s">
        <v>2778</v>
      </c>
      <c r="D347" s="2136"/>
      <c r="E347" s="2075"/>
      <c r="F347" s="2076">
        <f t="shared" si="196"/>
        <v>0</v>
      </c>
      <c r="G347" s="2533">
        <f t="shared" si="200"/>
        <v>0</v>
      </c>
      <c r="H347" s="2533">
        <f t="shared" si="200"/>
        <v>0</v>
      </c>
      <c r="I347" s="2533">
        <f t="shared" si="200"/>
        <v>0</v>
      </c>
      <c r="J347" s="2533">
        <f t="shared" si="200"/>
        <v>0</v>
      </c>
      <c r="K347" s="2533">
        <f t="shared" si="200"/>
        <v>0</v>
      </c>
      <c r="L347" s="2533">
        <f t="shared" si="200"/>
        <v>0</v>
      </c>
      <c r="M347" s="2533">
        <f t="shared" si="200"/>
        <v>0</v>
      </c>
      <c r="N347" s="2534">
        <f t="shared" si="200"/>
        <v>0</v>
      </c>
    </row>
    <row r="348" spans="1:14" ht="13.5" customHeight="1">
      <c r="A348" s="2917"/>
      <c r="B348" s="2921"/>
      <c r="C348" s="2152" t="s">
        <v>2939</v>
      </c>
      <c r="D348" s="2136"/>
      <c r="E348" s="2075"/>
      <c r="F348" s="2076">
        <f t="shared" si="196"/>
        <v>0</v>
      </c>
      <c r="G348" s="2533">
        <f t="shared" si="200"/>
        <v>0</v>
      </c>
      <c r="H348" s="2533">
        <f t="shared" si="200"/>
        <v>0</v>
      </c>
      <c r="I348" s="2533">
        <f t="shared" si="200"/>
        <v>0</v>
      </c>
      <c r="J348" s="2533">
        <f t="shared" si="200"/>
        <v>0</v>
      </c>
      <c r="K348" s="2533">
        <f t="shared" si="200"/>
        <v>0</v>
      </c>
      <c r="L348" s="2533">
        <f t="shared" si="200"/>
        <v>0</v>
      </c>
      <c r="M348" s="2533">
        <f t="shared" si="200"/>
        <v>0</v>
      </c>
      <c r="N348" s="2534">
        <f t="shared" si="200"/>
        <v>0</v>
      </c>
    </row>
    <row r="349" spans="1:14" ht="13.5" customHeight="1">
      <c r="A349" s="2917"/>
      <c r="B349" s="2926" t="s">
        <v>2556</v>
      </c>
      <c r="C349" s="2153" t="s">
        <v>2875</v>
      </c>
      <c r="D349" s="2136"/>
      <c r="E349" s="2075"/>
      <c r="F349" s="2076">
        <f t="shared" si="196"/>
        <v>0</v>
      </c>
      <c r="G349" s="2533">
        <f t="shared" si="200"/>
        <v>0</v>
      </c>
      <c r="H349" s="2533">
        <f t="shared" si="200"/>
        <v>0</v>
      </c>
      <c r="I349" s="2533">
        <f t="shared" si="200"/>
        <v>0</v>
      </c>
      <c r="J349" s="2533">
        <f t="shared" si="200"/>
        <v>0</v>
      </c>
      <c r="K349" s="2533">
        <f t="shared" si="200"/>
        <v>0</v>
      </c>
      <c r="L349" s="2533">
        <f t="shared" si="200"/>
        <v>0</v>
      </c>
      <c r="M349" s="2533">
        <f t="shared" si="200"/>
        <v>0</v>
      </c>
      <c r="N349" s="2534">
        <f t="shared" si="200"/>
        <v>0</v>
      </c>
    </row>
    <row r="350" spans="1:14" ht="13.5" customHeight="1">
      <c r="A350" s="2917"/>
      <c r="B350" s="2926"/>
      <c r="C350" s="2154" t="s">
        <v>2876</v>
      </c>
      <c r="D350" s="2136"/>
      <c r="E350" s="2075"/>
      <c r="F350" s="2076">
        <f t="shared" si="196"/>
        <v>0</v>
      </c>
      <c r="G350" s="2533">
        <f t="shared" si="200"/>
        <v>0</v>
      </c>
      <c r="H350" s="2533">
        <f t="shared" si="200"/>
        <v>0</v>
      </c>
      <c r="I350" s="2533">
        <f t="shared" si="200"/>
        <v>0</v>
      </c>
      <c r="J350" s="2533">
        <f t="shared" si="200"/>
        <v>0</v>
      </c>
      <c r="K350" s="2533">
        <f t="shared" si="200"/>
        <v>0</v>
      </c>
      <c r="L350" s="2533">
        <f t="shared" si="200"/>
        <v>0</v>
      </c>
      <c r="M350" s="2533">
        <f t="shared" si="200"/>
        <v>0</v>
      </c>
      <c r="N350" s="2534">
        <f t="shared" si="200"/>
        <v>0</v>
      </c>
    </row>
    <row r="351" spans="1:14" ht="13.5" customHeight="1">
      <c r="A351" s="2917"/>
      <c r="B351" s="2926"/>
      <c r="C351" s="2151" t="s">
        <v>2940</v>
      </c>
      <c r="D351" s="2136"/>
      <c r="E351" s="2075"/>
      <c r="F351" s="2076">
        <f t="shared" si="196"/>
        <v>0</v>
      </c>
      <c r="G351" s="2533">
        <f t="shared" si="200"/>
        <v>0</v>
      </c>
      <c r="H351" s="2533">
        <f t="shared" si="200"/>
        <v>0</v>
      </c>
      <c r="I351" s="2533">
        <f t="shared" si="200"/>
        <v>0</v>
      </c>
      <c r="J351" s="2533">
        <f t="shared" si="200"/>
        <v>0</v>
      </c>
      <c r="K351" s="2533">
        <f t="shared" si="200"/>
        <v>0</v>
      </c>
      <c r="L351" s="2533">
        <f t="shared" si="200"/>
        <v>0</v>
      </c>
      <c r="M351" s="2533">
        <f t="shared" si="200"/>
        <v>0</v>
      </c>
      <c r="N351" s="2534">
        <f t="shared" si="200"/>
        <v>0</v>
      </c>
    </row>
    <row r="352" spans="1:14" ht="13.5" customHeight="1">
      <c r="A352" s="2917"/>
      <c r="B352" s="2926"/>
      <c r="C352" s="2151" t="s">
        <v>2878</v>
      </c>
      <c r="D352" s="2136"/>
      <c r="E352" s="2075"/>
      <c r="F352" s="2076">
        <f t="shared" si="196"/>
        <v>0</v>
      </c>
      <c r="G352" s="2533">
        <f t="shared" si="200"/>
        <v>0</v>
      </c>
      <c r="H352" s="2533">
        <f t="shared" si="200"/>
        <v>0</v>
      </c>
      <c r="I352" s="2533">
        <f t="shared" si="200"/>
        <v>0</v>
      </c>
      <c r="J352" s="2533">
        <f t="shared" si="200"/>
        <v>0</v>
      </c>
      <c r="K352" s="2533">
        <f t="shared" si="200"/>
        <v>0</v>
      </c>
      <c r="L352" s="2533">
        <f t="shared" si="200"/>
        <v>0</v>
      </c>
      <c r="M352" s="2533">
        <f t="shared" si="200"/>
        <v>0</v>
      </c>
      <c r="N352" s="2534">
        <f t="shared" si="200"/>
        <v>0</v>
      </c>
    </row>
    <row r="353" spans="1:16" ht="13.5" customHeight="1">
      <c r="A353" s="2917"/>
      <c r="B353" s="2922"/>
      <c r="C353" s="2157" t="s">
        <v>2879</v>
      </c>
      <c r="D353" s="2157"/>
      <c r="E353" s="2158"/>
      <c r="F353" s="2046">
        <f t="shared" si="196"/>
        <v>0</v>
      </c>
      <c r="G353" s="2533">
        <f t="shared" si="200"/>
        <v>0</v>
      </c>
      <c r="H353" s="2533">
        <f t="shared" si="200"/>
        <v>0</v>
      </c>
      <c r="I353" s="2533">
        <f t="shared" si="200"/>
        <v>0</v>
      </c>
      <c r="J353" s="2533">
        <f t="shared" si="200"/>
        <v>0</v>
      </c>
      <c r="K353" s="2533">
        <f t="shared" si="200"/>
        <v>0</v>
      </c>
      <c r="L353" s="2533">
        <f t="shared" si="200"/>
        <v>0</v>
      </c>
      <c r="M353" s="2533">
        <f t="shared" si="200"/>
        <v>0</v>
      </c>
      <c r="N353" s="2534">
        <f t="shared" si="200"/>
        <v>0</v>
      </c>
    </row>
    <row r="354" spans="1:16" ht="13.5" customHeight="1">
      <c r="A354" s="2917"/>
      <c r="B354" s="2922"/>
      <c r="C354" s="2161" t="s">
        <v>2880</v>
      </c>
      <c r="D354" s="2157"/>
      <c r="E354" s="2158"/>
      <c r="F354" s="2046">
        <f t="shared" si="196"/>
        <v>0</v>
      </c>
      <c r="G354" s="2533">
        <f t="shared" si="200"/>
        <v>0</v>
      </c>
      <c r="H354" s="2533">
        <f t="shared" si="200"/>
        <v>0</v>
      </c>
      <c r="I354" s="2533">
        <f t="shared" si="200"/>
        <v>0</v>
      </c>
      <c r="J354" s="2533">
        <f t="shared" si="200"/>
        <v>0</v>
      </c>
      <c r="K354" s="2533">
        <f t="shared" si="200"/>
        <v>0</v>
      </c>
      <c r="L354" s="2533">
        <f t="shared" si="200"/>
        <v>0</v>
      </c>
      <c r="M354" s="2533">
        <f t="shared" si="200"/>
        <v>0</v>
      </c>
      <c r="N354" s="2534">
        <f t="shared" si="200"/>
        <v>0</v>
      </c>
    </row>
    <row r="355" spans="1:16" ht="15" customHeight="1">
      <c r="A355" s="2918"/>
      <c r="B355" s="2927"/>
      <c r="C355" s="2162" t="s">
        <v>2881</v>
      </c>
      <c r="D355" s="2163"/>
      <c r="E355" s="2082"/>
      <c r="F355" s="2164">
        <f t="shared" si="196"/>
        <v>0</v>
      </c>
      <c r="G355" s="2535">
        <f t="shared" si="200"/>
        <v>0</v>
      </c>
      <c r="H355" s="2535">
        <f t="shared" si="200"/>
        <v>0</v>
      </c>
      <c r="I355" s="2535">
        <f t="shared" si="200"/>
        <v>0</v>
      </c>
      <c r="J355" s="2535">
        <f t="shared" si="200"/>
        <v>0</v>
      </c>
      <c r="K355" s="2535">
        <f t="shared" si="200"/>
        <v>0</v>
      </c>
      <c r="L355" s="2535">
        <f t="shared" si="200"/>
        <v>0</v>
      </c>
      <c r="M355" s="2535">
        <f t="shared" si="200"/>
        <v>0</v>
      </c>
      <c r="N355" s="2536">
        <f t="shared" si="200"/>
        <v>0</v>
      </c>
    </row>
    <row r="356" spans="1:16" s="2172" customFormat="1" ht="14.25" customHeight="1">
      <c r="A356" s="2167"/>
      <c r="B356" s="2176"/>
      <c r="C356" s="2537" t="s">
        <v>2632</v>
      </c>
      <c r="D356" s="2537"/>
      <c r="E356" s="2538"/>
      <c r="F356" s="2538"/>
      <c r="G356" s="2539"/>
      <c r="H356" s="2539"/>
      <c r="I356" s="2539"/>
      <c r="J356" s="2539"/>
      <c r="K356" s="2539"/>
      <c r="L356" s="2539"/>
      <c r="M356" s="2539"/>
      <c r="N356" s="1720" t="s">
        <v>2941</v>
      </c>
      <c r="O356" s="2170"/>
      <c r="P356" s="2171"/>
    </row>
    <row r="357" spans="1:16" s="2172" customFormat="1" ht="14.25" customHeight="1">
      <c r="A357" s="2167"/>
      <c r="B357" s="2540"/>
      <c r="C357" s="2541" t="s">
        <v>2634</v>
      </c>
      <c r="D357" s="2541"/>
      <c r="E357" s="2542"/>
      <c r="F357" s="2542"/>
      <c r="G357" s="2174"/>
      <c r="H357" s="2174"/>
      <c r="I357" s="2174"/>
      <c r="J357" s="2174"/>
      <c r="K357" s="2174"/>
      <c r="L357" s="2174"/>
      <c r="M357" s="2174"/>
      <c r="N357" s="2174"/>
      <c r="O357" s="2170"/>
      <c r="P357" s="2171"/>
    </row>
    <row r="358" spans="1:16" s="2172" customFormat="1" ht="14.25" customHeight="1">
      <c r="A358" s="2175"/>
      <c r="B358" s="2176"/>
      <c r="C358" s="2176"/>
      <c r="D358" s="2912" t="s">
        <v>2635</v>
      </c>
      <c r="E358" s="2912" t="s">
        <v>2883</v>
      </c>
      <c r="F358" s="2177" t="s">
        <v>2517</v>
      </c>
      <c r="G358" s="2178" t="str">
        <f t="shared" ref="G358:N358" si="201">G302</f>
        <v>工事１</v>
      </c>
      <c r="H358" s="2178" t="str">
        <f t="shared" si="201"/>
        <v>工事２</v>
      </c>
      <c r="I358" s="2178" t="str">
        <f t="shared" si="201"/>
        <v>工事３</v>
      </c>
      <c r="J358" s="2178" t="str">
        <f>J302</f>
        <v>工事３</v>
      </c>
      <c r="K358" s="2178" t="str">
        <f>K302</f>
        <v>工事３</v>
      </c>
      <c r="L358" s="2178" t="str">
        <f t="shared" si="201"/>
        <v>工事４</v>
      </c>
      <c r="M358" s="2178" t="str">
        <f t="shared" si="201"/>
        <v>工事５</v>
      </c>
      <c r="N358" s="2179" t="str">
        <f t="shared" si="201"/>
        <v>工事６</v>
      </c>
      <c r="O358" s="2171"/>
      <c r="P358" s="2171"/>
    </row>
    <row r="359" spans="1:16" s="2172" customFormat="1" ht="14.25" customHeight="1">
      <c r="A359" s="2903" t="s">
        <v>2637</v>
      </c>
      <c r="B359" s="2914"/>
      <c r="C359" s="2914"/>
      <c r="D359" s="2913"/>
      <c r="E359" s="2913"/>
      <c r="F359" s="2180"/>
      <c r="G359" s="2181"/>
      <c r="H359" s="2181"/>
      <c r="I359" s="2181"/>
      <c r="J359" s="2181"/>
      <c r="K359" s="2181"/>
      <c r="L359" s="2181"/>
      <c r="M359" s="2181"/>
      <c r="N359" s="2182"/>
      <c r="O359" s="2183"/>
      <c r="P359" s="2183"/>
    </row>
    <row r="360" spans="1:16" s="2172" customFormat="1" ht="14.25" customHeight="1">
      <c r="A360" s="2904"/>
      <c r="B360" s="2184" t="s">
        <v>2884</v>
      </c>
      <c r="C360" s="2185"/>
      <c r="D360" s="2185"/>
      <c r="E360" s="2186"/>
      <c r="F360" s="2187">
        <f>SUM(G360:N360)</f>
        <v>0</v>
      </c>
      <c r="G360" s="2188">
        <f t="shared" ref="G360:N360" si="202">SUM(G361:G367)+G351</f>
        <v>0</v>
      </c>
      <c r="H360" s="2188">
        <f t="shared" si="202"/>
        <v>0</v>
      </c>
      <c r="I360" s="2188">
        <f t="shared" si="202"/>
        <v>0</v>
      </c>
      <c r="J360" s="2188">
        <f>SUM(J361:J367)+J351</f>
        <v>0</v>
      </c>
      <c r="K360" s="2188">
        <f>SUM(K361:K367)+K351</f>
        <v>0</v>
      </c>
      <c r="L360" s="2188">
        <f t="shared" si="202"/>
        <v>0</v>
      </c>
      <c r="M360" s="2188">
        <f t="shared" si="202"/>
        <v>0</v>
      </c>
      <c r="N360" s="2189">
        <f t="shared" si="202"/>
        <v>0</v>
      </c>
      <c r="O360" s="2190"/>
      <c r="P360" s="2190"/>
    </row>
    <row r="361" spans="1:16" s="2172" customFormat="1" ht="14.25" customHeight="1">
      <c r="A361" s="2905"/>
      <c r="B361" s="2911" t="s">
        <v>2942</v>
      </c>
      <c r="C361" s="2191" t="s">
        <v>2542</v>
      </c>
      <c r="D361" s="2192">
        <v>1</v>
      </c>
      <c r="E361" s="2193" t="s">
        <v>2943</v>
      </c>
      <c r="F361" s="2194">
        <f>SUM(G361:N361)</f>
        <v>0</v>
      </c>
      <c r="G361" s="2195">
        <f t="shared" ref="G361:N362" si="203">IF(G$91="積上げ",0,G334)</f>
        <v>0</v>
      </c>
      <c r="H361" s="2195">
        <f t="shared" si="203"/>
        <v>0</v>
      </c>
      <c r="I361" s="2195">
        <f t="shared" si="203"/>
        <v>0</v>
      </c>
      <c r="J361" s="2195">
        <f>IF(J$91="積上げ",0,J334)</f>
        <v>0</v>
      </c>
      <c r="K361" s="2195">
        <f>IF(K$91="積上げ",0,K334)</f>
        <v>0</v>
      </c>
      <c r="L361" s="2195">
        <f t="shared" si="203"/>
        <v>0</v>
      </c>
      <c r="M361" s="2195">
        <f t="shared" si="203"/>
        <v>0</v>
      </c>
      <c r="N361" s="2196">
        <f t="shared" si="203"/>
        <v>0</v>
      </c>
      <c r="O361" s="2183"/>
      <c r="P361" s="2183"/>
    </row>
    <row r="362" spans="1:16" s="2172" customFormat="1" ht="14.25" customHeight="1">
      <c r="A362" s="2905"/>
      <c r="B362" s="2911"/>
      <c r="C362" s="2191" t="s">
        <v>2543</v>
      </c>
      <c r="D362" s="2192">
        <v>1</v>
      </c>
      <c r="E362" s="2193" t="s">
        <v>2802</v>
      </c>
      <c r="F362" s="2194">
        <f>SUM(G362:N362)</f>
        <v>0</v>
      </c>
      <c r="G362" s="2195">
        <f t="shared" si="203"/>
        <v>0</v>
      </c>
      <c r="H362" s="2195">
        <f t="shared" si="203"/>
        <v>0</v>
      </c>
      <c r="I362" s="2195">
        <f t="shared" si="203"/>
        <v>0</v>
      </c>
      <c r="J362" s="2195">
        <f>IF(J$91="積上げ",0,J335)</f>
        <v>0</v>
      </c>
      <c r="K362" s="2195">
        <f>IF(K$91="積上げ",0,K335)</f>
        <v>0</v>
      </c>
      <c r="L362" s="2195">
        <f t="shared" si="203"/>
        <v>0</v>
      </c>
      <c r="M362" s="2195">
        <f t="shared" si="203"/>
        <v>0</v>
      </c>
      <c r="N362" s="2196">
        <f t="shared" si="203"/>
        <v>0</v>
      </c>
      <c r="O362" s="2183"/>
      <c r="P362" s="2183"/>
    </row>
    <row r="363" spans="1:16" s="2172" customFormat="1" ht="14.25" customHeight="1">
      <c r="A363" s="2905"/>
      <c r="B363" s="2910" t="s">
        <v>2741</v>
      </c>
      <c r="C363" s="2136" t="s">
        <v>2887</v>
      </c>
      <c r="D363" s="2192">
        <v>1</v>
      </c>
      <c r="E363" s="2197">
        <v>0.2</v>
      </c>
      <c r="F363" s="2195">
        <f>INT(F339/(1+$E363))</f>
        <v>0</v>
      </c>
      <c r="G363" s="2195">
        <f t="shared" ref="G363:N367" si="204">IF(G$91="積上げ",0,G397)</f>
        <v>0</v>
      </c>
      <c r="H363" s="2195">
        <f t="shared" si="204"/>
        <v>0</v>
      </c>
      <c r="I363" s="2195">
        <f t="shared" si="204"/>
        <v>0</v>
      </c>
      <c r="J363" s="2195">
        <f t="shared" si="204"/>
        <v>0</v>
      </c>
      <c r="K363" s="2195">
        <f t="shared" si="204"/>
        <v>0</v>
      </c>
      <c r="L363" s="2195">
        <f t="shared" si="204"/>
        <v>0</v>
      </c>
      <c r="M363" s="2195">
        <f t="shared" si="204"/>
        <v>0</v>
      </c>
      <c r="N363" s="2196">
        <f t="shared" si="204"/>
        <v>0</v>
      </c>
      <c r="O363" s="2183"/>
      <c r="P363" s="2183"/>
    </row>
    <row r="364" spans="1:16" s="2172" customFormat="1" ht="14.25" customHeight="1">
      <c r="A364" s="2905"/>
      <c r="B364" s="2908"/>
      <c r="C364" s="2144" t="s">
        <v>2888</v>
      </c>
      <c r="D364" s="2192">
        <v>1</v>
      </c>
      <c r="E364" s="2198">
        <f>E151</f>
        <v>0.25</v>
      </c>
      <c r="F364" s="2195">
        <f>INT(F340/(1+$E364))</f>
        <v>0</v>
      </c>
      <c r="G364" s="2195">
        <f t="shared" si="204"/>
        <v>0</v>
      </c>
      <c r="H364" s="2195">
        <f t="shared" si="204"/>
        <v>0</v>
      </c>
      <c r="I364" s="2195">
        <f t="shared" si="204"/>
        <v>0</v>
      </c>
      <c r="J364" s="2195">
        <f t="shared" si="204"/>
        <v>0</v>
      </c>
      <c r="K364" s="2195">
        <f t="shared" si="204"/>
        <v>0</v>
      </c>
      <c r="L364" s="2195">
        <f t="shared" si="204"/>
        <v>0</v>
      </c>
      <c r="M364" s="2195">
        <f t="shared" si="204"/>
        <v>0</v>
      </c>
      <c r="N364" s="2196">
        <f t="shared" si="204"/>
        <v>0</v>
      </c>
      <c r="O364" s="2183"/>
      <c r="P364" s="2183"/>
    </row>
    <row r="365" spans="1:16" s="2172" customFormat="1" ht="14.25" customHeight="1">
      <c r="A365" s="2905"/>
      <c r="B365" s="2908"/>
      <c r="C365" s="2136" t="s">
        <v>2889</v>
      </c>
      <c r="D365" s="2192">
        <v>1</v>
      </c>
      <c r="E365" s="2197">
        <v>0.2</v>
      </c>
      <c r="F365" s="2195">
        <f>INT(F341/(1+$E365))</f>
        <v>0</v>
      </c>
      <c r="G365" s="2195">
        <f t="shared" si="204"/>
        <v>0</v>
      </c>
      <c r="H365" s="2195">
        <f t="shared" si="204"/>
        <v>0</v>
      </c>
      <c r="I365" s="2195">
        <f t="shared" si="204"/>
        <v>0</v>
      </c>
      <c r="J365" s="2195">
        <f t="shared" si="204"/>
        <v>0</v>
      </c>
      <c r="K365" s="2195">
        <f t="shared" si="204"/>
        <v>0</v>
      </c>
      <c r="L365" s="2195">
        <f t="shared" si="204"/>
        <v>0</v>
      </c>
      <c r="M365" s="2195">
        <f t="shared" si="204"/>
        <v>0</v>
      </c>
      <c r="N365" s="2196">
        <f t="shared" si="204"/>
        <v>0</v>
      </c>
      <c r="O365" s="2183"/>
      <c r="P365" s="2183"/>
    </row>
    <row r="366" spans="1:16" s="2172" customFormat="1" ht="14.25" customHeight="1">
      <c r="A366" s="2905"/>
      <c r="B366" s="2908"/>
      <c r="C366" s="2136" t="s">
        <v>2905</v>
      </c>
      <c r="D366" s="2192">
        <v>1</v>
      </c>
      <c r="E366" s="2197">
        <v>0.2</v>
      </c>
      <c r="F366" s="2195">
        <f>INT(F342/(1+$E366))</f>
        <v>0</v>
      </c>
      <c r="G366" s="2195">
        <f t="shared" si="204"/>
        <v>0</v>
      </c>
      <c r="H366" s="2195">
        <f t="shared" si="204"/>
        <v>0</v>
      </c>
      <c r="I366" s="2195">
        <f t="shared" si="204"/>
        <v>0</v>
      </c>
      <c r="J366" s="2195">
        <f t="shared" si="204"/>
        <v>0</v>
      </c>
      <c r="K366" s="2195">
        <f t="shared" si="204"/>
        <v>0</v>
      </c>
      <c r="L366" s="2195">
        <f t="shared" si="204"/>
        <v>0</v>
      </c>
      <c r="M366" s="2195">
        <f t="shared" si="204"/>
        <v>0</v>
      </c>
      <c r="N366" s="2196">
        <f t="shared" si="204"/>
        <v>0</v>
      </c>
      <c r="O366" s="2183"/>
      <c r="P366" s="2183"/>
    </row>
    <row r="367" spans="1:16" s="2172" customFormat="1" ht="14.25" customHeight="1">
      <c r="A367" s="2905"/>
      <c r="B367" s="2887"/>
      <c r="C367" s="2145" t="s">
        <v>2937</v>
      </c>
      <c r="D367" s="2199">
        <v>1</v>
      </c>
      <c r="E367" s="2197">
        <v>0.2</v>
      </c>
      <c r="F367" s="2195">
        <f>INT(F343/(1+$E367))</f>
        <v>0</v>
      </c>
      <c r="G367" s="2195">
        <f t="shared" si="204"/>
        <v>0</v>
      </c>
      <c r="H367" s="2195">
        <f t="shared" si="204"/>
        <v>0</v>
      </c>
      <c r="I367" s="2195">
        <f t="shared" si="204"/>
        <v>0</v>
      </c>
      <c r="J367" s="2195">
        <f t="shared" si="204"/>
        <v>0</v>
      </c>
      <c r="K367" s="2195">
        <f t="shared" si="204"/>
        <v>0</v>
      </c>
      <c r="L367" s="2195">
        <f t="shared" si="204"/>
        <v>0</v>
      </c>
      <c r="M367" s="2195">
        <f t="shared" si="204"/>
        <v>0</v>
      </c>
      <c r="N367" s="2196">
        <f t="shared" si="204"/>
        <v>0</v>
      </c>
      <c r="O367" s="2183"/>
      <c r="P367" s="2183"/>
    </row>
    <row r="368" spans="1:16" s="2172" customFormat="1" ht="14.25" customHeight="1">
      <c r="A368" s="2905"/>
      <c r="B368" s="2911"/>
      <c r="C368" s="2200" t="s">
        <v>2826</v>
      </c>
      <c r="D368" s="2192">
        <v>1</v>
      </c>
      <c r="E368" s="2201"/>
      <c r="F368" s="2195"/>
      <c r="G368" s="2195"/>
      <c r="H368" s="2195"/>
      <c r="I368" s="2202"/>
      <c r="J368" s="2202"/>
      <c r="K368" s="2202"/>
      <c r="L368" s="2202"/>
      <c r="M368" s="2202"/>
      <c r="N368" s="2203"/>
      <c r="O368" s="2183"/>
      <c r="P368" s="2183"/>
    </row>
    <row r="369" spans="1:16" s="2172" customFormat="1" ht="14.25" customHeight="1">
      <c r="A369" s="2905"/>
      <c r="B369" s="2911"/>
      <c r="C369" s="2200" t="s">
        <v>2893</v>
      </c>
      <c r="D369" s="2192">
        <v>1</v>
      </c>
      <c r="E369" s="2201"/>
      <c r="F369" s="2195"/>
      <c r="G369" s="2195"/>
      <c r="H369" s="2195"/>
      <c r="I369" s="2202"/>
      <c r="J369" s="2202"/>
      <c r="K369" s="2202"/>
      <c r="L369" s="2202"/>
      <c r="M369" s="2202"/>
      <c r="N369" s="2203"/>
      <c r="O369" s="2183"/>
      <c r="P369" s="2183"/>
    </row>
    <row r="370" spans="1:16" s="2172" customFormat="1" ht="14.25" customHeight="1">
      <c r="A370" s="2915"/>
      <c r="B370" s="2204" t="s">
        <v>2644</v>
      </c>
      <c r="C370" s="2205" t="s">
        <v>2944</v>
      </c>
      <c r="D370" s="2206">
        <v>1</v>
      </c>
      <c r="E370" s="2207">
        <v>0</v>
      </c>
      <c r="F370" s="2208">
        <f>SUM(G370:N370)</f>
        <v>0</v>
      </c>
      <c r="G370" s="2209">
        <f t="shared" ref="G370:N370" si="205">IF(G304="積上げ",0,SUM(G349:G351)+G353)</f>
        <v>0</v>
      </c>
      <c r="H370" s="2209">
        <f t="shared" si="205"/>
        <v>0</v>
      </c>
      <c r="I370" s="2209">
        <f t="shared" si="205"/>
        <v>0</v>
      </c>
      <c r="J370" s="2209">
        <f>IF(J304="積上げ",0,SUM(J349:J351)+J353)</f>
        <v>0</v>
      </c>
      <c r="K370" s="2209">
        <f>IF(K304="積上げ",0,SUM(K349:K351)+K353)</f>
        <v>0</v>
      </c>
      <c r="L370" s="2209">
        <f t="shared" si="205"/>
        <v>0</v>
      </c>
      <c r="M370" s="2209">
        <f t="shared" si="205"/>
        <v>0</v>
      </c>
      <c r="N370" s="2210">
        <f t="shared" si="205"/>
        <v>0</v>
      </c>
      <c r="O370" s="2183"/>
      <c r="P370" s="2183"/>
    </row>
    <row r="371" spans="1:16" s="2172" customFormat="1" ht="14.25" customHeight="1">
      <c r="A371" s="2211"/>
      <c r="B371" s="2212"/>
      <c r="C371" s="2213"/>
      <c r="D371" s="2900"/>
      <c r="E371" s="2900"/>
      <c r="F371" s="2214"/>
      <c r="G371" s="2215"/>
      <c r="H371" s="2215"/>
      <c r="I371" s="2215"/>
      <c r="J371" s="2215"/>
      <c r="K371" s="2215"/>
      <c r="L371" s="2215"/>
      <c r="M371" s="2215"/>
      <c r="N371" s="2216"/>
      <c r="O371" s="2183"/>
      <c r="P371" s="2183"/>
    </row>
    <row r="372" spans="1:16" s="2172" customFormat="1" ht="14.25" customHeight="1">
      <c r="A372" s="2902" t="s">
        <v>2646</v>
      </c>
      <c r="B372" s="2902"/>
      <c r="C372" s="2903"/>
      <c r="D372" s="2901"/>
      <c r="E372" s="2901"/>
      <c r="F372" s="2180"/>
      <c r="G372" s="2181"/>
      <c r="H372" s="2181"/>
      <c r="I372" s="2181"/>
      <c r="J372" s="2181"/>
      <c r="K372" s="2181"/>
      <c r="L372" s="2181"/>
      <c r="M372" s="2181"/>
      <c r="N372" s="2182"/>
      <c r="O372" s="2183"/>
      <c r="P372" s="2183"/>
    </row>
    <row r="373" spans="1:16" s="2172" customFormat="1" ht="14.25" customHeight="1">
      <c r="A373" s="2904"/>
      <c r="B373" s="2907" t="s">
        <v>2740</v>
      </c>
      <c r="C373" s="2217" t="s">
        <v>2542</v>
      </c>
      <c r="D373" s="2218"/>
      <c r="E373" s="2219" t="s">
        <v>2945</v>
      </c>
      <c r="F373" s="2220" t="s">
        <v>2946</v>
      </c>
      <c r="G373" s="2221">
        <f t="shared" ref="G373:N373" si="206">IF(G301="新営",IF(G306="有り",+G477/100,G478/100),0)</f>
        <v>0</v>
      </c>
      <c r="H373" s="2221">
        <f t="shared" si="206"/>
        <v>0</v>
      </c>
      <c r="I373" s="2221">
        <f t="shared" si="206"/>
        <v>0</v>
      </c>
      <c r="J373" s="2221">
        <f>IF(J301="新営",IF(J306="有り",+J477/100,J478/100),0)</f>
        <v>0</v>
      </c>
      <c r="K373" s="2221">
        <f>IF(K301="新営",IF(K306="有り",+K477/100,K478/100),0)</f>
        <v>0</v>
      </c>
      <c r="L373" s="2221">
        <f t="shared" si="206"/>
        <v>0</v>
      </c>
      <c r="M373" s="2221">
        <f t="shared" si="206"/>
        <v>0</v>
      </c>
      <c r="N373" s="2222">
        <f t="shared" si="206"/>
        <v>0</v>
      </c>
      <c r="O373" s="2223"/>
      <c r="P373" s="2223"/>
    </row>
    <row r="374" spans="1:16" s="2172" customFormat="1" ht="14.25" customHeight="1">
      <c r="A374" s="2905"/>
      <c r="B374" s="2908"/>
      <c r="C374" s="2224"/>
      <c r="D374" s="2225">
        <f>+D361</f>
        <v>1</v>
      </c>
      <c r="E374" s="2226" t="s">
        <v>2802</v>
      </c>
      <c r="F374" s="2227">
        <f>SUM(G374:N374)</f>
        <v>0</v>
      </c>
      <c r="G374" s="2228">
        <f t="shared" ref="G374:N374" si="207">ROUNDDOWN(G361*G373*$D374,0)</f>
        <v>0</v>
      </c>
      <c r="H374" s="2228">
        <f t="shared" si="207"/>
        <v>0</v>
      </c>
      <c r="I374" s="2228">
        <f t="shared" si="207"/>
        <v>0</v>
      </c>
      <c r="J374" s="2228">
        <f>ROUNDDOWN(J361*J373*$D374,0)</f>
        <v>0</v>
      </c>
      <c r="K374" s="2228">
        <f>ROUNDDOWN(K361*K373*$D374,0)</f>
        <v>0</v>
      </c>
      <c r="L374" s="2228">
        <f t="shared" si="207"/>
        <v>0</v>
      </c>
      <c r="M374" s="2228">
        <f t="shared" si="207"/>
        <v>0</v>
      </c>
      <c r="N374" s="2203">
        <f t="shared" si="207"/>
        <v>0</v>
      </c>
      <c r="O374" s="2183"/>
      <c r="P374" s="2183"/>
    </row>
    <row r="375" spans="1:16" s="2172" customFormat="1" ht="14.25" customHeight="1">
      <c r="A375" s="2905"/>
      <c r="B375" s="2908"/>
      <c r="C375" s="2229" t="s">
        <v>2543</v>
      </c>
      <c r="D375" s="2230"/>
      <c r="E375" s="2226" t="s">
        <v>2802</v>
      </c>
      <c r="F375" s="2231" t="s">
        <v>2801</v>
      </c>
      <c r="G375" s="2232">
        <f t="shared" ref="G375:N375" si="208">IF(G301="改修",IF(G306="有り",+G486/100,G487/100),0)</f>
        <v>2.5099999999999997E-2</v>
      </c>
      <c r="H375" s="2232">
        <f t="shared" si="208"/>
        <v>0</v>
      </c>
      <c r="I375" s="2232">
        <f t="shared" si="208"/>
        <v>0</v>
      </c>
      <c r="J375" s="2232">
        <f>IF(J301="改修",IF(J306="有り",+J486/100,J487/100),0)</f>
        <v>0</v>
      </c>
      <c r="K375" s="2232">
        <f>IF(K301="改修",IF(K306="有り",+K486/100,K487/100),0)</f>
        <v>0</v>
      </c>
      <c r="L375" s="2232">
        <f t="shared" si="208"/>
        <v>0</v>
      </c>
      <c r="M375" s="2232">
        <f t="shared" si="208"/>
        <v>0</v>
      </c>
      <c r="N375" s="2233">
        <f t="shared" si="208"/>
        <v>0</v>
      </c>
      <c r="O375" s="2223"/>
      <c r="P375" s="2223"/>
    </row>
    <row r="376" spans="1:16" s="2172" customFormat="1" ht="14.25" customHeight="1">
      <c r="A376" s="2905"/>
      <c r="B376" s="2909"/>
      <c r="C376" s="2224"/>
      <c r="D376" s="2225">
        <f>+D362</f>
        <v>1</v>
      </c>
      <c r="E376" s="2226" t="s">
        <v>2802</v>
      </c>
      <c r="F376" s="2227">
        <f t="shared" ref="F376:F385" si="209">SUM(G376:N376)</f>
        <v>0</v>
      </c>
      <c r="G376" s="2228">
        <f t="shared" ref="G376:N376" si="210">ROUNDDOWN(G362*G375*$D376,0)</f>
        <v>0</v>
      </c>
      <c r="H376" s="2228">
        <f t="shared" si="210"/>
        <v>0</v>
      </c>
      <c r="I376" s="2228">
        <f t="shared" si="210"/>
        <v>0</v>
      </c>
      <c r="J376" s="2228">
        <f>ROUNDDOWN(J362*J375*$D376,0)</f>
        <v>0</v>
      </c>
      <c r="K376" s="2228">
        <f>ROUNDDOWN(K362*K375*$D376,0)</f>
        <v>0</v>
      </c>
      <c r="L376" s="2228">
        <f t="shared" si="210"/>
        <v>0</v>
      </c>
      <c r="M376" s="2228">
        <f t="shared" si="210"/>
        <v>0</v>
      </c>
      <c r="N376" s="2234">
        <f t="shared" si="210"/>
        <v>0</v>
      </c>
      <c r="O376" s="2183"/>
      <c r="P376" s="2183"/>
    </row>
    <row r="377" spans="1:16" s="2172" customFormat="1" ht="14.25" customHeight="1">
      <c r="A377" s="2905"/>
      <c r="B377" s="2910" t="s">
        <v>2741</v>
      </c>
      <c r="C377" s="2136" t="s">
        <v>2947</v>
      </c>
      <c r="D377" s="2225">
        <v>1</v>
      </c>
      <c r="E377" s="2235"/>
      <c r="F377" s="2227">
        <f t="shared" si="209"/>
        <v>0</v>
      </c>
      <c r="G377" s="2228">
        <f t="shared" ref="G377:N377" si="211">IF(G$88="改修",ROUNDDOWN(G363*G$162*$D377,0),ROUNDDOWN(G363*G$160*$D377,0))</f>
        <v>0</v>
      </c>
      <c r="H377" s="2228">
        <f t="shared" si="211"/>
        <v>0</v>
      </c>
      <c r="I377" s="2228">
        <f t="shared" si="211"/>
        <v>0</v>
      </c>
      <c r="J377" s="2228">
        <f>IF(J$88="改修",ROUNDDOWN(J363*J$162*$D377,0),ROUNDDOWN(J363*J$160*$D377,0))</f>
        <v>0</v>
      </c>
      <c r="K377" s="2228">
        <f>IF(K$88="改修",ROUNDDOWN(K363*K$162*$D377,0),ROUNDDOWN(K363*K$160*$D377,0))</f>
        <v>0</v>
      </c>
      <c r="L377" s="2228">
        <f t="shared" si="211"/>
        <v>0</v>
      </c>
      <c r="M377" s="2228">
        <f t="shared" si="211"/>
        <v>0</v>
      </c>
      <c r="N377" s="2234">
        <f t="shared" si="211"/>
        <v>0</v>
      </c>
      <c r="O377" s="2183"/>
      <c r="P377" s="2183"/>
    </row>
    <row r="378" spans="1:16" s="2172" customFormat="1" ht="14.25" customHeight="1">
      <c r="A378" s="2905"/>
      <c r="B378" s="2908"/>
      <c r="C378" s="2144" t="s">
        <v>2888</v>
      </c>
      <c r="D378" s="2225">
        <v>1</v>
      </c>
      <c r="E378" s="2226"/>
      <c r="F378" s="2227">
        <f t="shared" si="209"/>
        <v>0</v>
      </c>
      <c r="G378" s="2228">
        <f t="shared" ref="G378:N378" si="212">IF(G$88="改修",ROUNDDOWN(G364*G$162*$D378,0),IF(G301="新営",ROUNDDOWN(G364*G$160*$D378,0),0))</f>
        <v>0</v>
      </c>
      <c r="H378" s="2228">
        <f t="shared" si="212"/>
        <v>0</v>
      </c>
      <c r="I378" s="2228">
        <f t="shared" si="212"/>
        <v>0</v>
      </c>
      <c r="J378" s="2228">
        <f>IF(J$88="改修",ROUNDDOWN(J364*J$162*$D378,0),IF(J301="新営",ROUNDDOWN(J364*J$160*$D378,0),0))</f>
        <v>0</v>
      </c>
      <c r="K378" s="2228">
        <f>IF(K$88="改修",ROUNDDOWN(K364*K$162*$D378,0),IF(K301="新営",ROUNDDOWN(K364*K$160*$D378,0),0))</f>
        <v>0</v>
      </c>
      <c r="L378" s="2228">
        <f t="shared" si="212"/>
        <v>0</v>
      </c>
      <c r="M378" s="2228">
        <f t="shared" si="212"/>
        <v>0</v>
      </c>
      <c r="N378" s="2234">
        <f t="shared" si="212"/>
        <v>0</v>
      </c>
      <c r="O378" s="2183"/>
      <c r="P378" s="2183"/>
    </row>
    <row r="379" spans="1:16" s="2172" customFormat="1" ht="14.25" customHeight="1">
      <c r="A379" s="2905"/>
      <c r="B379" s="2908"/>
      <c r="C379" s="2136" t="s">
        <v>2889</v>
      </c>
      <c r="D379" s="2225">
        <v>1</v>
      </c>
      <c r="E379" s="2226"/>
      <c r="F379" s="2227">
        <f t="shared" si="209"/>
        <v>0</v>
      </c>
      <c r="G379" s="2228">
        <f t="shared" ref="G379:N379" si="213">IF(G$88="改修",ROUNDDOWN(G365*G$162*$D379,0),IF(G301="新営",ROUNDDOWN(G365*G$160*$D379,0),0))</f>
        <v>0</v>
      </c>
      <c r="H379" s="2228">
        <f t="shared" si="213"/>
        <v>0</v>
      </c>
      <c r="I379" s="2228">
        <f t="shared" si="213"/>
        <v>0</v>
      </c>
      <c r="J379" s="2228">
        <f>IF(J$88="改修",ROUNDDOWN(J365*J$162*$D379,0),IF(J301="新営",ROUNDDOWN(J365*J$160*$D379,0),0))</f>
        <v>0</v>
      </c>
      <c r="K379" s="2228">
        <f>IF(K$88="改修",ROUNDDOWN(K365*K$162*$D379,0),IF(K301="新営",ROUNDDOWN(K365*K$160*$D379,0),0))</f>
        <v>0</v>
      </c>
      <c r="L379" s="2228">
        <f t="shared" si="213"/>
        <v>0</v>
      </c>
      <c r="M379" s="2228">
        <f t="shared" si="213"/>
        <v>0</v>
      </c>
      <c r="N379" s="2234">
        <f t="shared" si="213"/>
        <v>0</v>
      </c>
      <c r="O379" s="2183"/>
      <c r="P379" s="2183"/>
    </row>
    <row r="380" spans="1:16" s="2172" customFormat="1" ht="14.25" customHeight="1">
      <c r="A380" s="2905"/>
      <c r="B380" s="2908"/>
      <c r="C380" s="2136" t="s">
        <v>2948</v>
      </c>
      <c r="D380" s="2225">
        <v>1</v>
      </c>
      <c r="E380" s="2226"/>
      <c r="F380" s="2227">
        <f t="shared" si="209"/>
        <v>0</v>
      </c>
      <c r="G380" s="2228">
        <f t="shared" ref="G380:N381" si="214">IF(G$88="改修",ROUNDDOWN(G366*G$162*$D380,0),IF(G301="新営",ROUNDDOWN(G366*G$160*$D380,0),0))</f>
        <v>0</v>
      </c>
      <c r="H380" s="2228">
        <f t="shared" si="214"/>
        <v>0</v>
      </c>
      <c r="I380" s="2228">
        <f t="shared" si="214"/>
        <v>0</v>
      </c>
      <c r="J380" s="2228">
        <f>IF(J$88="改修",ROUNDDOWN(J366*J$162*$D380,0),IF(J301="新営",ROUNDDOWN(J366*J$160*$D380,0),0))</f>
        <v>0</v>
      </c>
      <c r="K380" s="2228">
        <f>IF(K$88="改修",ROUNDDOWN(K366*K$162*$D380,0),IF(K301="新営",ROUNDDOWN(K366*K$160*$D380,0),0))</f>
        <v>0</v>
      </c>
      <c r="L380" s="2228">
        <f t="shared" si="214"/>
        <v>0</v>
      </c>
      <c r="M380" s="2228">
        <f t="shared" si="214"/>
        <v>0</v>
      </c>
      <c r="N380" s="2234">
        <f t="shared" si="214"/>
        <v>0</v>
      </c>
      <c r="O380" s="2183"/>
      <c r="P380" s="2183"/>
    </row>
    <row r="381" spans="1:16" s="2172" customFormat="1" ht="14.25" customHeight="1">
      <c r="A381" s="2905"/>
      <c r="B381" s="2236"/>
      <c r="C381" s="2145" t="s">
        <v>2937</v>
      </c>
      <c r="D381" s="2199">
        <v>1</v>
      </c>
      <c r="E381" s="2226"/>
      <c r="F381" s="2194">
        <f t="shared" si="209"/>
        <v>0</v>
      </c>
      <c r="G381" s="2237">
        <f t="shared" si="214"/>
        <v>0</v>
      </c>
      <c r="H381" s="2237">
        <f t="shared" si="214"/>
        <v>0</v>
      </c>
      <c r="I381" s="2237">
        <f t="shared" si="214"/>
        <v>0</v>
      </c>
      <c r="J381" s="2237">
        <f>IF(J$88="改修",ROUNDDOWN(J367*J$162*$D381,0),IF(J302="新営",ROUNDDOWN(J367*J$160*$D381,0),0))</f>
        <v>0</v>
      </c>
      <c r="K381" s="2237">
        <f>IF(K$88="改修",ROUNDDOWN(K367*K$162*$D381,0),IF(K302="新営",ROUNDDOWN(K367*K$160*$D381,0),0))</f>
        <v>0</v>
      </c>
      <c r="L381" s="2237">
        <f t="shared" si="214"/>
        <v>0</v>
      </c>
      <c r="M381" s="2237">
        <f t="shared" si="214"/>
        <v>0</v>
      </c>
      <c r="N381" s="2238">
        <f t="shared" si="214"/>
        <v>0</v>
      </c>
      <c r="O381" s="2183"/>
      <c r="P381" s="2183"/>
    </row>
    <row r="382" spans="1:16" s="2172" customFormat="1" ht="14.25" customHeight="1">
      <c r="A382" s="2905"/>
      <c r="B382" s="2911"/>
      <c r="C382" s="2200" t="s">
        <v>2651</v>
      </c>
      <c r="D382" s="2239">
        <f t="shared" ref="D382:E384" si="215">+D368</f>
        <v>1</v>
      </c>
      <c r="E382" s="2201">
        <f t="shared" si="215"/>
        <v>0</v>
      </c>
      <c r="F382" s="2227">
        <f t="shared" si="209"/>
        <v>0</v>
      </c>
      <c r="G382" s="2228">
        <f t="shared" ref="G382:N384" si="216">ROUNDDOWN(G368*$E382*$D382,0)</f>
        <v>0</v>
      </c>
      <c r="H382" s="2228">
        <f t="shared" si="216"/>
        <v>0</v>
      </c>
      <c r="I382" s="2228">
        <f t="shared" si="216"/>
        <v>0</v>
      </c>
      <c r="J382" s="2228">
        <f t="shared" si="216"/>
        <v>0</v>
      </c>
      <c r="K382" s="2228">
        <f t="shared" si="216"/>
        <v>0</v>
      </c>
      <c r="L382" s="2228">
        <f t="shared" si="216"/>
        <v>0</v>
      </c>
      <c r="M382" s="2228">
        <f t="shared" si="216"/>
        <v>0</v>
      </c>
      <c r="N382" s="2234">
        <f t="shared" si="216"/>
        <v>0</v>
      </c>
      <c r="O382" s="2183"/>
      <c r="P382" s="2183"/>
    </row>
    <row r="383" spans="1:16" s="2172" customFormat="1" ht="14.25" customHeight="1">
      <c r="A383" s="2905"/>
      <c r="B383" s="2911"/>
      <c r="C383" s="2200" t="s">
        <v>2893</v>
      </c>
      <c r="D383" s="2239">
        <f t="shared" si="215"/>
        <v>1</v>
      </c>
      <c r="E383" s="2201">
        <f t="shared" si="215"/>
        <v>0</v>
      </c>
      <c r="F383" s="2227">
        <f t="shared" si="209"/>
        <v>0</v>
      </c>
      <c r="G383" s="2228">
        <f t="shared" si="216"/>
        <v>0</v>
      </c>
      <c r="H383" s="2228">
        <f t="shared" si="216"/>
        <v>0</v>
      </c>
      <c r="I383" s="2228">
        <f t="shared" si="216"/>
        <v>0</v>
      </c>
      <c r="J383" s="2228">
        <f t="shared" si="216"/>
        <v>0</v>
      </c>
      <c r="K383" s="2228">
        <f t="shared" si="216"/>
        <v>0</v>
      </c>
      <c r="L383" s="2228">
        <f t="shared" si="216"/>
        <v>0</v>
      </c>
      <c r="M383" s="2228">
        <f t="shared" si="216"/>
        <v>0</v>
      </c>
      <c r="N383" s="2234">
        <f t="shared" si="216"/>
        <v>0</v>
      </c>
      <c r="O383" s="2183"/>
      <c r="P383" s="2183"/>
    </row>
    <row r="384" spans="1:16" s="2172" customFormat="1" ht="14.25" customHeight="1" thickBot="1">
      <c r="A384" s="2906"/>
      <c r="B384" s="2240" t="s">
        <v>2644</v>
      </c>
      <c r="C384" s="2205" t="s">
        <v>2898</v>
      </c>
      <c r="D384" s="2241">
        <f t="shared" si="215"/>
        <v>1</v>
      </c>
      <c r="E384" s="2242">
        <f t="shared" si="215"/>
        <v>0</v>
      </c>
      <c r="F384" s="2227">
        <f t="shared" si="209"/>
        <v>0</v>
      </c>
      <c r="G384" s="2228">
        <f t="shared" si="216"/>
        <v>0</v>
      </c>
      <c r="H384" s="2228">
        <f t="shared" si="216"/>
        <v>0</v>
      </c>
      <c r="I384" s="2228">
        <f t="shared" si="216"/>
        <v>0</v>
      </c>
      <c r="J384" s="2228">
        <f t="shared" si="216"/>
        <v>0</v>
      </c>
      <c r="K384" s="2228">
        <f t="shared" si="216"/>
        <v>0</v>
      </c>
      <c r="L384" s="2228">
        <f t="shared" si="216"/>
        <v>0</v>
      </c>
      <c r="M384" s="2228">
        <f t="shared" si="216"/>
        <v>0</v>
      </c>
      <c r="N384" s="2234">
        <f t="shared" si="216"/>
        <v>0</v>
      </c>
      <c r="O384" s="2183"/>
      <c r="P384" s="2183"/>
    </row>
    <row r="385" spans="1:16" s="2172" customFormat="1" ht="14.25" customHeight="1" thickTop="1">
      <c r="A385" s="2243"/>
      <c r="B385" s="2244"/>
      <c r="C385" s="2245" t="s">
        <v>2653</v>
      </c>
      <c r="D385" s="2246"/>
      <c r="E385" s="2247"/>
      <c r="F385" s="2248">
        <f t="shared" si="209"/>
        <v>0</v>
      </c>
      <c r="G385" s="2249">
        <f t="shared" ref="G385:N385" si="217">SUM(G376:G384)+G374</f>
        <v>0</v>
      </c>
      <c r="H385" s="2249">
        <f t="shared" si="217"/>
        <v>0</v>
      </c>
      <c r="I385" s="2249">
        <f t="shared" si="217"/>
        <v>0</v>
      </c>
      <c r="J385" s="2249">
        <f>SUM(J376:J384)+J374</f>
        <v>0</v>
      </c>
      <c r="K385" s="2249">
        <f>SUM(K376:K384)+K374</f>
        <v>0</v>
      </c>
      <c r="L385" s="2249">
        <f t="shared" si="217"/>
        <v>0</v>
      </c>
      <c r="M385" s="2249">
        <f t="shared" si="217"/>
        <v>0</v>
      </c>
      <c r="N385" s="2250">
        <f t="shared" si="217"/>
        <v>0</v>
      </c>
      <c r="O385" s="2183"/>
      <c r="P385" s="2183"/>
    </row>
    <row r="386" spans="1:16" ht="15" customHeight="1">
      <c r="A386" s="1753"/>
      <c r="B386" s="2251"/>
      <c r="C386" s="2252"/>
      <c r="D386" s="2253"/>
      <c r="E386" s="1749"/>
      <c r="F386" s="2254"/>
      <c r="G386" s="2255"/>
      <c r="H386" s="2255"/>
      <c r="I386" s="2255"/>
      <c r="J386" s="2255"/>
      <c r="K386" s="2255"/>
      <c r="L386" s="2255"/>
      <c r="M386" s="2255"/>
      <c r="N386" s="2255"/>
    </row>
    <row r="387" spans="1:16" ht="15" customHeight="1">
      <c r="A387" s="1714"/>
      <c r="B387" s="1714"/>
      <c r="C387" s="1974" t="s">
        <v>2899</v>
      </c>
      <c r="D387" s="1974"/>
      <c r="E387" s="1715"/>
      <c r="F387" s="1715"/>
      <c r="G387" s="1724"/>
      <c r="H387" s="1724"/>
      <c r="I387" s="1724"/>
      <c r="J387" s="1724"/>
      <c r="K387" s="1724"/>
      <c r="L387" s="1724"/>
      <c r="M387" s="1724"/>
      <c r="N387" s="1720" t="s">
        <v>2949</v>
      </c>
    </row>
    <row r="388" spans="1:16" ht="15" customHeight="1">
      <c r="A388" s="1714"/>
      <c r="B388" s="1714"/>
      <c r="C388" s="2256" t="s">
        <v>2786</v>
      </c>
      <c r="D388" s="2256"/>
      <c r="E388" s="1715"/>
      <c r="F388" s="1715"/>
      <c r="G388" s="1724"/>
      <c r="H388" s="1724"/>
      <c r="I388" s="1724"/>
      <c r="J388" s="1724"/>
      <c r="K388" s="1724"/>
      <c r="L388" s="1724"/>
      <c r="M388" s="1724"/>
      <c r="N388" s="1975"/>
    </row>
    <row r="389" spans="1:16" ht="15" customHeight="1">
      <c r="A389" s="1725"/>
      <c r="B389" s="1726"/>
      <c r="C389" s="1726"/>
      <c r="D389" s="2896"/>
      <c r="E389" s="2896" t="s">
        <v>2668</v>
      </c>
      <c r="F389" s="2257" t="s">
        <v>2517</v>
      </c>
      <c r="G389" s="2258" t="str">
        <f t="shared" ref="G389:N389" si="218">+G302</f>
        <v>工事１</v>
      </c>
      <c r="H389" s="2258" t="str">
        <f t="shared" si="218"/>
        <v>工事２</v>
      </c>
      <c r="I389" s="2258" t="str">
        <f t="shared" si="218"/>
        <v>工事３</v>
      </c>
      <c r="J389" s="2258" t="str">
        <f>+J302</f>
        <v>工事３</v>
      </c>
      <c r="K389" s="2258" t="str">
        <f>+K302</f>
        <v>工事３</v>
      </c>
      <c r="L389" s="2258" t="str">
        <f t="shared" si="218"/>
        <v>工事４</v>
      </c>
      <c r="M389" s="2258" t="str">
        <f t="shared" si="218"/>
        <v>工事５</v>
      </c>
      <c r="N389" s="2259" t="str">
        <f t="shared" si="218"/>
        <v>工事６</v>
      </c>
    </row>
    <row r="390" spans="1:16" ht="14.25" customHeight="1">
      <c r="A390" s="2898" t="s">
        <v>2657</v>
      </c>
      <c r="B390" s="2899"/>
      <c r="C390" s="2899"/>
      <c r="D390" s="2897"/>
      <c r="E390" s="2897"/>
      <c r="F390" s="2260"/>
      <c r="G390" s="2261"/>
      <c r="H390" s="2261"/>
      <c r="I390" s="2261"/>
      <c r="J390" s="2261"/>
      <c r="K390" s="2261"/>
      <c r="L390" s="2261"/>
      <c r="M390" s="2261"/>
      <c r="N390" s="2262"/>
    </row>
    <row r="391" spans="1:16" ht="15" customHeight="1">
      <c r="A391" s="2263"/>
      <c r="B391" s="2264" t="s">
        <v>2787</v>
      </c>
      <c r="C391" s="2265"/>
      <c r="D391" s="2258"/>
      <c r="E391" s="2266"/>
      <c r="F391" s="2267">
        <f>SUM(G391:N391)</f>
        <v>0</v>
      </c>
      <c r="G391" s="2268">
        <f t="shared" ref="G391:N391" si="219">SUM(G334:G337)</f>
        <v>0</v>
      </c>
      <c r="H391" s="2268">
        <f t="shared" si="219"/>
        <v>0</v>
      </c>
      <c r="I391" s="2268">
        <f t="shared" si="219"/>
        <v>0</v>
      </c>
      <c r="J391" s="2268">
        <f>SUM(J334:J337)</f>
        <v>0</v>
      </c>
      <c r="K391" s="2268">
        <f>SUM(K334:K337)</f>
        <v>0</v>
      </c>
      <c r="L391" s="2268">
        <f t="shared" si="219"/>
        <v>0</v>
      </c>
      <c r="M391" s="2268">
        <f t="shared" si="219"/>
        <v>0</v>
      </c>
      <c r="N391" s="2269">
        <f t="shared" si="219"/>
        <v>0</v>
      </c>
    </row>
    <row r="392" spans="1:16" ht="15" customHeight="1">
      <c r="A392" s="2270"/>
      <c r="B392" s="2882" t="s">
        <v>2942</v>
      </c>
      <c r="C392" s="2070" t="s">
        <v>2542</v>
      </c>
      <c r="D392" s="2258"/>
      <c r="E392" s="2271" t="s">
        <v>2789</v>
      </c>
      <c r="F392" s="2267">
        <f>SUM(G392:N392)</f>
        <v>0</v>
      </c>
      <c r="G392" s="2272">
        <f t="shared" ref="G392:N392" si="220">+G334</f>
        <v>0</v>
      </c>
      <c r="H392" s="2272">
        <f t="shared" si="220"/>
        <v>0</v>
      </c>
      <c r="I392" s="2272">
        <f t="shared" si="220"/>
        <v>0</v>
      </c>
      <c r="J392" s="2272">
        <f>+J334</f>
        <v>0</v>
      </c>
      <c r="K392" s="2272">
        <f>+K334</f>
        <v>0</v>
      </c>
      <c r="L392" s="2272">
        <f t="shared" si="220"/>
        <v>0</v>
      </c>
      <c r="M392" s="2272">
        <f t="shared" si="220"/>
        <v>0</v>
      </c>
      <c r="N392" s="2273">
        <f t="shared" si="220"/>
        <v>0</v>
      </c>
    </row>
    <row r="393" spans="1:16" ht="15" customHeight="1">
      <c r="A393" s="2274"/>
      <c r="B393" s="2883"/>
      <c r="C393" s="2136" t="s">
        <v>2543</v>
      </c>
      <c r="D393" s="2275"/>
      <c r="E393" s="2276" t="s">
        <v>2789</v>
      </c>
      <c r="F393" s="2277">
        <f>SUM(G393:N393)</f>
        <v>0</v>
      </c>
      <c r="G393" s="2146">
        <f t="shared" ref="G393:N394" si="221">G335</f>
        <v>0</v>
      </c>
      <c r="H393" s="2146">
        <f t="shared" si="221"/>
        <v>0</v>
      </c>
      <c r="I393" s="2146">
        <f t="shared" si="221"/>
        <v>0</v>
      </c>
      <c r="J393" s="2146">
        <f>J335</f>
        <v>0</v>
      </c>
      <c r="K393" s="2146">
        <f>K335</f>
        <v>0</v>
      </c>
      <c r="L393" s="2146">
        <f t="shared" si="221"/>
        <v>0</v>
      </c>
      <c r="M393" s="2146">
        <f t="shared" si="221"/>
        <v>0</v>
      </c>
      <c r="N393" s="2147">
        <f t="shared" si="221"/>
        <v>0</v>
      </c>
    </row>
    <row r="394" spans="1:16" ht="15" customHeight="1">
      <c r="A394" s="2274"/>
      <c r="B394" s="2883"/>
      <c r="C394" s="2136" t="s">
        <v>2902</v>
      </c>
      <c r="D394" s="2275"/>
      <c r="E394" s="2276" t="s">
        <v>2789</v>
      </c>
      <c r="F394" s="2277">
        <f>SUM(G394:N394)</f>
        <v>0</v>
      </c>
      <c r="G394" s="2146">
        <f t="shared" si="221"/>
        <v>0</v>
      </c>
      <c r="H394" s="2146">
        <f t="shared" si="221"/>
        <v>0</v>
      </c>
      <c r="I394" s="2146">
        <f t="shared" si="221"/>
        <v>0</v>
      </c>
      <c r="J394" s="2146">
        <f>J336</f>
        <v>0</v>
      </c>
      <c r="K394" s="2146">
        <f>K336</f>
        <v>0</v>
      </c>
      <c r="L394" s="2146">
        <f t="shared" si="221"/>
        <v>0</v>
      </c>
      <c r="M394" s="2146">
        <f t="shared" si="221"/>
        <v>0</v>
      </c>
      <c r="N394" s="2147">
        <f t="shared" si="221"/>
        <v>0</v>
      </c>
    </row>
    <row r="395" spans="1:16" ht="15" customHeight="1">
      <c r="A395" s="2274"/>
      <c r="B395" s="2888"/>
      <c r="C395" s="2278" t="s">
        <v>2866</v>
      </c>
      <c r="D395" s="2275"/>
      <c r="E395" s="2276" t="s">
        <v>2789</v>
      </c>
      <c r="F395" s="2137">
        <f>F385</f>
        <v>0</v>
      </c>
      <c r="G395" s="2137">
        <f t="shared" ref="G395:N395" si="222">G385</f>
        <v>0</v>
      </c>
      <c r="H395" s="2137">
        <f t="shared" si="222"/>
        <v>0</v>
      </c>
      <c r="I395" s="2137">
        <f t="shared" si="222"/>
        <v>0</v>
      </c>
      <c r="J395" s="2137">
        <f>J385</f>
        <v>0</v>
      </c>
      <c r="K395" s="2137">
        <f>K385</f>
        <v>0</v>
      </c>
      <c r="L395" s="2137">
        <f t="shared" si="222"/>
        <v>0</v>
      </c>
      <c r="M395" s="2137">
        <f t="shared" si="222"/>
        <v>0</v>
      </c>
      <c r="N395" s="2138">
        <f t="shared" si="222"/>
        <v>0</v>
      </c>
    </row>
    <row r="396" spans="1:16" ht="15" customHeight="1">
      <c r="A396" s="2274"/>
      <c r="B396" s="2886" t="s">
        <v>2741</v>
      </c>
      <c r="C396" s="2279" t="s">
        <v>2867</v>
      </c>
      <c r="D396" s="2275"/>
      <c r="E396" s="2150">
        <v>0.2</v>
      </c>
      <c r="F396" s="2146">
        <f t="shared" ref="F396:F401" si="223">INT(F338/(1+$E396))</f>
        <v>0</v>
      </c>
      <c r="G396" s="2146">
        <f t="shared" ref="G396:G401" si="224">F396-SUM(H396:N396)</f>
        <v>0</v>
      </c>
      <c r="H396" s="2146">
        <f t="shared" ref="H396:N396" si="225">INT(H338/(1+$E396))</f>
        <v>0</v>
      </c>
      <c r="I396" s="2146">
        <f t="shared" si="225"/>
        <v>0</v>
      </c>
      <c r="J396" s="2146">
        <f t="shared" si="225"/>
        <v>0</v>
      </c>
      <c r="K396" s="2146">
        <f t="shared" si="225"/>
        <v>0</v>
      </c>
      <c r="L396" s="2146">
        <f t="shared" si="225"/>
        <v>0</v>
      </c>
      <c r="M396" s="2146">
        <f t="shared" si="225"/>
        <v>0</v>
      </c>
      <c r="N396" s="2147">
        <f t="shared" si="225"/>
        <v>0</v>
      </c>
    </row>
    <row r="397" spans="1:16" ht="15" customHeight="1">
      <c r="A397" s="2274"/>
      <c r="B397" s="2884"/>
      <c r="C397" s="2136" t="s">
        <v>2887</v>
      </c>
      <c r="D397" s="2275"/>
      <c r="E397" s="2150">
        <v>0.2</v>
      </c>
      <c r="F397" s="2146">
        <f t="shared" si="223"/>
        <v>0</v>
      </c>
      <c r="G397" s="2146">
        <f t="shared" si="224"/>
        <v>0</v>
      </c>
      <c r="H397" s="2146">
        <f t="shared" ref="H397:N401" si="226">IF(H339=0,0,ROUND($F397/$F339*H339,0))</f>
        <v>0</v>
      </c>
      <c r="I397" s="2146">
        <f t="shared" si="226"/>
        <v>0</v>
      </c>
      <c r="J397" s="2146">
        <f t="shared" si="226"/>
        <v>0</v>
      </c>
      <c r="K397" s="2146">
        <f t="shared" si="226"/>
        <v>0</v>
      </c>
      <c r="L397" s="2146">
        <f t="shared" si="226"/>
        <v>0</v>
      </c>
      <c r="M397" s="2146">
        <f t="shared" si="226"/>
        <v>0</v>
      </c>
      <c r="N397" s="2147">
        <f t="shared" si="226"/>
        <v>0</v>
      </c>
    </row>
    <row r="398" spans="1:16" ht="15" customHeight="1">
      <c r="A398" s="2274"/>
      <c r="B398" s="2884"/>
      <c r="C398" s="2144" t="s">
        <v>2904</v>
      </c>
      <c r="D398" s="2275"/>
      <c r="E398" s="2280">
        <f>E205</f>
        <v>0.25</v>
      </c>
      <c r="F398" s="2146">
        <f t="shared" si="223"/>
        <v>0</v>
      </c>
      <c r="G398" s="2146">
        <f t="shared" si="224"/>
        <v>0</v>
      </c>
      <c r="H398" s="2146">
        <f t="shared" si="226"/>
        <v>0</v>
      </c>
      <c r="I398" s="2146">
        <f t="shared" si="226"/>
        <v>0</v>
      </c>
      <c r="J398" s="2146">
        <f t="shared" si="226"/>
        <v>0</v>
      </c>
      <c r="K398" s="2146">
        <f t="shared" si="226"/>
        <v>0</v>
      </c>
      <c r="L398" s="2146">
        <f t="shared" si="226"/>
        <v>0</v>
      </c>
      <c r="M398" s="2146">
        <f t="shared" si="226"/>
        <v>0</v>
      </c>
      <c r="N398" s="2147">
        <f t="shared" si="226"/>
        <v>0</v>
      </c>
    </row>
    <row r="399" spans="1:16" ht="15" customHeight="1">
      <c r="A399" s="2274"/>
      <c r="B399" s="2884"/>
      <c r="C399" s="2136" t="s">
        <v>2889</v>
      </c>
      <c r="D399" s="2275"/>
      <c r="E399" s="2150">
        <v>0.2</v>
      </c>
      <c r="F399" s="2146">
        <f t="shared" si="223"/>
        <v>0</v>
      </c>
      <c r="G399" s="2146">
        <f t="shared" si="224"/>
        <v>0</v>
      </c>
      <c r="H399" s="2146">
        <f t="shared" si="226"/>
        <v>0</v>
      </c>
      <c r="I399" s="2146">
        <f t="shared" si="226"/>
        <v>0</v>
      </c>
      <c r="J399" s="2146">
        <f t="shared" si="226"/>
        <v>0</v>
      </c>
      <c r="K399" s="2146">
        <f t="shared" si="226"/>
        <v>0</v>
      </c>
      <c r="L399" s="2146">
        <f t="shared" si="226"/>
        <v>0</v>
      </c>
      <c r="M399" s="2146">
        <f t="shared" si="226"/>
        <v>0</v>
      </c>
      <c r="N399" s="2147">
        <f t="shared" si="226"/>
        <v>0</v>
      </c>
    </row>
    <row r="400" spans="1:16" ht="15" customHeight="1">
      <c r="A400" s="2274"/>
      <c r="B400" s="2884"/>
      <c r="C400" s="2136" t="s">
        <v>2905</v>
      </c>
      <c r="D400" s="2275"/>
      <c r="E400" s="2150">
        <v>0.2</v>
      </c>
      <c r="F400" s="2146">
        <f t="shared" si="223"/>
        <v>0</v>
      </c>
      <c r="G400" s="2146">
        <f t="shared" si="224"/>
        <v>0</v>
      </c>
      <c r="H400" s="2146">
        <f t="shared" si="226"/>
        <v>0</v>
      </c>
      <c r="I400" s="2146">
        <f t="shared" si="226"/>
        <v>0</v>
      </c>
      <c r="J400" s="2146">
        <f t="shared" si="226"/>
        <v>0</v>
      </c>
      <c r="K400" s="2146">
        <f t="shared" si="226"/>
        <v>0</v>
      </c>
      <c r="L400" s="2146">
        <f t="shared" si="226"/>
        <v>0</v>
      </c>
      <c r="M400" s="2146">
        <f t="shared" si="226"/>
        <v>0</v>
      </c>
      <c r="N400" s="2147">
        <f t="shared" si="226"/>
        <v>0</v>
      </c>
    </row>
    <row r="401" spans="1:14" ht="15" customHeight="1">
      <c r="A401" s="2274"/>
      <c r="B401" s="2884"/>
      <c r="C401" s="2136" t="s">
        <v>2937</v>
      </c>
      <c r="D401" s="2275"/>
      <c r="E401" s="2150">
        <v>0.2</v>
      </c>
      <c r="F401" s="2146">
        <f t="shared" si="223"/>
        <v>0</v>
      </c>
      <c r="G401" s="2146">
        <f t="shared" si="224"/>
        <v>0</v>
      </c>
      <c r="H401" s="2146">
        <f t="shared" si="226"/>
        <v>0</v>
      </c>
      <c r="I401" s="2146">
        <f t="shared" si="226"/>
        <v>0</v>
      </c>
      <c r="J401" s="2146">
        <f t="shared" si="226"/>
        <v>0</v>
      </c>
      <c r="K401" s="2146">
        <f t="shared" si="226"/>
        <v>0</v>
      </c>
      <c r="L401" s="2146">
        <f t="shared" si="226"/>
        <v>0</v>
      </c>
      <c r="M401" s="2146">
        <f t="shared" si="226"/>
        <v>0</v>
      </c>
      <c r="N401" s="2147">
        <f t="shared" si="226"/>
        <v>0</v>
      </c>
    </row>
    <row r="402" spans="1:14" ht="15" customHeight="1">
      <c r="A402" s="2274"/>
      <c r="B402" s="2884"/>
      <c r="C402" s="2136"/>
      <c r="D402" s="2275"/>
      <c r="E402" s="2150"/>
      <c r="F402" s="2277"/>
      <c r="G402" s="2146"/>
      <c r="H402" s="2146"/>
      <c r="I402" s="2146"/>
      <c r="J402" s="2146"/>
      <c r="K402" s="2146"/>
      <c r="L402" s="2146"/>
      <c r="M402" s="2146"/>
      <c r="N402" s="2147"/>
    </row>
    <row r="403" spans="1:14" ht="15" customHeight="1">
      <c r="A403" s="2274"/>
      <c r="B403" s="2887"/>
      <c r="C403" s="2136"/>
      <c r="D403" s="2275"/>
      <c r="E403" s="2150"/>
      <c r="F403" s="2277"/>
      <c r="G403" s="2146"/>
      <c r="H403" s="2146"/>
      <c r="I403" s="2146"/>
      <c r="J403" s="2146"/>
      <c r="K403" s="2146"/>
      <c r="L403" s="2146"/>
      <c r="M403" s="2146"/>
      <c r="N403" s="2147"/>
    </row>
    <row r="404" spans="1:14" ht="15" customHeight="1">
      <c r="A404" s="2274"/>
      <c r="B404" s="2886" t="s">
        <v>477</v>
      </c>
      <c r="C404" s="2136" t="s">
        <v>2906</v>
      </c>
      <c r="D404" s="2275"/>
      <c r="E404" s="2150">
        <v>0.02</v>
      </c>
      <c r="F404" s="2277">
        <f>SUM(G404:N404)</f>
        <v>0</v>
      </c>
      <c r="G404" s="2146">
        <f t="shared" ref="G404:N406" si="227">+G346</f>
        <v>0</v>
      </c>
      <c r="H404" s="2146">
        <f t="shared" si="227"/>
        <v>0</v>
      </c>
      <c r="I404" s="2146">
        <f t="shared" si="227"/>
        <v>0</v>
      </c>
      <c r="J404" s="2146">
        <f t="shared" si="227"/>
        <v>0</v>
      </c>
      <c r="K404" s="2146">
        <f t="shared" si="227"/>
        <v>0</v>
      </c>
      <c r="L404" s="2146">
        <f t="shared" si="227"/>
        <v>0</v>
      </c>
      <c r="M404" s="2146">
        <f t="shared" si="227"/>
        <v>0</v>
      </c>
      <c r="N404" s="2147">
        <f t="shared" si="227"/>
        <v>0</v>
      </c>
    </row>
    <row r="405" spans="1:14" ht="15" customHeight="1">
      <c r="A405" s="2274"/>
      <c r="B405" s="2883"/>
      <c r="C405" s="2152" t="s">
        <v>2950</v>
      </c>
      <c r="D405" s="2275"/>
      <c r="E405" s="2150">
        <v>0.02</v>
      </c>
      <c r="F405" s="2277">
        <f>SUM(G405:N405)</f>
        <v>0</v>
      </c>
      <c r="G405" s="2146">
        <f t="shared" si="227"/>
        <v>0</v>
      </c>
      <c r="H405" s="2146">
        <f t="shared" si="227"/>
        <v>0</v>
      </c>
      <c r="I405" s="2146">
        <f t="shared" si="227"/>
        <v>0</v>
      </c>
      <c r="J405" s="2146">
        <f t="shared" si="227"/>
        <v>0</v>
      </c>
      <c r="K405" s="2146">
        <f t="shared" si="227"/>
        <v>0</v>
      </c>
      <c r="L405" s="2146">
        <f t="shared" si="227"/>
        <v>0</v>
      </c>
      <c r="M405" s="2146">
        <f t="shared" si="227"/>
        <v>0</v>
      </c>
      <c r="N405" s="2147">
        <f t="shared" si="227"/>
        <v>0</v>
      </c>
    </row>
    <row r="406" spans="1:14" ht="15" customHeight="1">
      <c r="A406" s="2274"/>
      <c r="B406" s="2888"/>
      <c r="C406" s="2152" t="s">
        <v>2915</v>
      </c>
      <c r="D406" s="2275"/>
      <c r="E406" s="2150">
        <v>0.02</v>
      </c>
      <c r="F406" s="2277">
        <f>SUM(G406:N406)</f>
        <v>0</v>
      </c>
      <c r="G406" s="2146">
        <f t="shared" si="227"/>
        <v>0</v>
      </c>
      <c r="H406" s="2146">
        <f t="shared" si="227"/>
        <v>0</v>
      </c>
      <c r="I406" s="2146">
        <f t="shared" si="227"/>
        <v>0</v>
      </c>
      <c r="J406" s="2146">
        <f t="shared" si="227"/>
        <v>0</v>
      </c>
      <c r="K406" s="2146">
        <f t="shared" si="227"/>
        <v>0</v>
      </c>
      <c r="L406" s="2146">
        <f t="shared" si="227"/>
        <v>0</v>
      </c>
      <c r="M406" s="2146">
        <f t="shared" si="227"/>
        <v>0</v>
      </c>
      <c r="N406" s="2147">
        <f t="shared" si="227"/>
        <v>0</v>
      </c>
    </row>
    <row r="407" spans="1:14" ht="15" customHeight="1">
      <c r="A407" s="2274"/>
      <c r="B407" s="2282" t="s">
        <v>2644</v>
      </c>
      <c r="C407" s="2283" t="s">
        <v>2951</v>
      </c>
      <c r="D407" s="2275"/>
      <c r="E407" s="2150">
        <v>0</v>
      </c>
      <c r="F407" s="2277">
        <f>SUM(G407:N407)</f>
        <v>0</v>
      </c>
      <c r="G407" s="2287">
        <f t="shared" ref="G407:N407" si="228">SUM(G349:G355)</f>
        <v>0</v>
      </c>
      <c r="H407" s="2287">
        <f t="shared" si="228"/>
        <v>0</v>
      </c>
      <c r="I407" s="2287">
        <f t="shared" si="228"/>
        <v>0</v>
      </c>
      <c r="J407" s="2287">
        <f>SUM(J349:J355)</f>
        <v>0</v>
      </c>
      <c r="K407" s="2287">
        <f>SUM(K349:K355)</f>
        <v>0</v>
      </c>
      <c r="L407" s="2287">
        <f t="shared" si="228"/>
        <v>0</v>
      </c>
      <c r="M407" s="2287">
        <f t="shared" si="228"/>
        <v>0</v>
      </c>
      <c r="N407" s="2288">
        <f t="shared" si="228"/>
        <v>0</v>
      </c>
    </row>
    <row r="408" spans="1:14" ht="15" customHeight="1">
      <c r="A408" s="2289" t="s">
        <v>2564</v>
      </c>
      <c r="B408" s="2290"/>
      <c r="C408" s="2290"/>
      <c r="D408" s="2291"/>
      <c r="E408" s="2292" t="s">
        <v>2799</v>
      </c>
      <c r="F408" s="2293"/>
      <c r="G408" s="2294"/>
      <c r="H408" s="2294"/>
      <c r="I408" s="2294"/>
      <c r="J408" s="2294"/>
      <c r="K408" s="2294"/>
      <c r="L408" s="2294"/>
      <c r="M408" s="2294"/>
      <c r="N408" s="2295"/>
    </row>
    <row r="409" spans="1:14" ht="15" customHeight="1">
      <c r="A409" s="2270"/>
      <c r="B409" s="2882" t="s">
        <v>2740</v>
      </c>
      <c r="C409" s="2296" t="s">
        <v>2542</v>
      </c>
      <c r="D409" s="2297"/>
      <c r="E409" s="2298" t="s">
        <v>2802</v>
      </c>
      <c r="F409" s="2299" t="s">
        <v>2801</v>
      </c>
      <c r="G409" s="2300">
        <f t="shared" ref="G409:N409" si="229">IF(G392=0,0,+G495/100)</f>
        <v>0</v>
      </c>
      <c r="H409" s="2300">
        <f t="shared" si="229"/>
        <v>0</v>
      </c>
      <c r="I409" s="2300">
        <f t="shared" si="229"/>
        <v>0</v>
      </c>
      <c r="J409" s="2300">
        <f>IF(J392=0,0,+J495/100)</f>
        <v>0</v>
      </c>
      <c r="K409" s="2300">
        <f>IF(K392=0,0,+K495/100)</f>
        <v>0</v>
      </c>
      <c r="L409" s="2300">
        <f t="shared" si="229"/>
        <v>0</v>
      </c>
      <c r="M409" s="2300">
        <f t="shared" si="229"/>
        <v>0</v>
      </c>
      <c r="N409" s="2301">
        <f t="shared" si="229"/>
        <v>0</v>
      </c>
    </row>
    <row r="410" spans="1:14" ht="15" customHeight="1">
      <c r="A410" s="2274"/>
      <c r="B410" s="2883"/>
      <c r="C410" s="2302"/>
      <c r="D410" s="2303">
        <v>1</v>
      </c>
      <c r="E410" s="2304" t="s">
        <v>2802</v>
      </c>
      <c r="F410" s="2046">
        <f>SUM(G410:N410)</f>
        <v>0</v>
      </c>
      <c r="G410" s="2305">
        <f t="shared" ref="G410:N410" si="230">ROUNDDOWN(G392*G409*$D410,0)</f>
        <v>0</v>
      </c>
      <c r="H410" s="2305">
        <f t="shared" si="230"/>
        <v>0</v>
      </c>
      <c r="I410" s="2305">
        <f t="shared" si="230"/>
        <v>0</v>
      </c>
      <c r="J410" s="2305">
        <f>ROUNDDOWN(J392*J409*$D410,0)</f>
        <v>0</v>
      </c>
      <c r="K410" s="2305">
        <f>ROUNDDOWN(K392*K409*$D410,0)</f>
        <v>0</v>
      </c>
      <c r="L410" s="2305">
        <f t="shared" si="230"/>
        <v>0</v>
      </c>
      <c r="M410" s="2305">
        <f t="shared" si="230"/>
        <v>0</v>
      </c>
      <c r="N410" s="2306">
        <f t="shared" si="230"/>
        <v>0</v>
      </c>
    </row>
    <row r="411" spans="1:14" ht="15" customHeight="1">
      <c r="A411" s="2274"/>
      <c r="B411" s="2883"/>
      <c r="C411" s="2307" t="s">
        <v>2543</v>
      </c>
      <c r="D411" s="2051"/>
      <c r="E411" s="2304" t="s">
        <v>2945</v>
      </c>
      <c r="F411" s="2308" t="s">
        <v>2801</v>
      </c>
      <c r="G411" s="2309">
        <f t="shared" ref="G411:N411" si="231">IF(G393=0,0,+G503/100)</f>
        <v>0</v>
      </c>
      <c r="H411" s="2309">
        <f t="shared" si="231"/>
        <v>0</v>
      </c>
      <c r="I411" s="2309">
        <f t="shared" si="231"/>
        <v>0</v>
      </c>
      <c r="J411" s="2309">
        <f>IF(J393=0,0,+J503/100)</f>
        <v>0</v>
      </c>
      <c r="K411" s="2309">
        <f>IF(K393=0,0,+K503/100)</f>
        <v>0</v>
      </c>
      <c r="L411" s="2309">
        <f t="shared" si="231"/>
        <v>0</v>
      </c>
      <c r="M411" s="2309">
        <f t="shared" si="231"/>
        <v>0</v>
      </c>
      <c r="N411" s="2310">
        <f t="shared" si="231"/>
        <v>0</v>
      </c>
    </row>
    <row r="412" spans="1:14" ht="15" customHeight="1">
      <c r="A412" s="2274"/>
      <c r="B412" s="2884"/>
      <c r="C412" s="2302"/>
      <c r="D412" s="2303">
        <v>1</v>
      </c>
      <c r="E412" s="2304" t="s">
        <v>2943</v>
      </c>
      <c r="F412" s="2046">
        <f>SUM(G412:N412)</f>
        <v>0</v>
      </c>
      <c r="G412" s="2305">
        <f t="shared" ref="G412:N412" si="232">IF(G301="改修",ROUNDDOWN(G393*G411*$D412,0),0)</f>
        <v>0</v>
      </c>
      <c r="H412" s="2305">
        <f t="shared" si="232"/>
        <v>0</v>
      </c>
      <c r="I412" s="2305">
        <f t="shared" si="232"/>
        <v>0</v>
      </c>
      <c r="J412" s="2305">
        <f>IF(J301="改修",ROUNDDOWN(J393*J411*$D412,0),0)</f>
        <v>0</v>
      </c>
      <c r="K412" s="2305">
        <f>IF(K301="改修",ROUNDDOWN(K393*K411*$D412,0),0)</f>
        <v>0</v>
      </c>
      <c r="L412" s="2305">
        <f t="shared" si="232"/>
        <v>0</v>
      </c>
      <c r="M412" s="2305">
        <f t="shared" si="232"/>
        <v>0</v>
      </c>
      <c r="N412" s="2306">
        <f t="shared" si="232"/>
        <v>0</v>
      </c>
    </row>
    <row r="413" spans="1:14" ht="15" customHeight="1">
      <c r="A413" s="2274"/>
      <c r="B413" s="2884"/>
      <c r="C413" s="2311" t="s">
        <v>2911</v>
      </c>
      <c r="D413" s="2312"/>
      <c r="E413" s="2313"/>
      <c r="F413" s="2314" t="s">
        <v>2952</v>
      </c>
      <c r="G413" s="2315">
        <f t="shared" ref="G413:N413" si="233">IF(G395=0,0,IF(G301="改修",G503/100,G495/100))</f>
        <v>0</v>
      </c>
      <c r="H413" s="2315">
        <f t="shared" si="233"/>
        <v>0</v>
      </c>
      <c r="I413" s="2315">
        <f t="shared" si="233"/>
        <v>0</v>
      </c>
      <c r="J413" s="2315">
        <f>IF(J395=0,0,IF(J301="改修",J503/100,J495/100))</f>
        <v>0</v>
      </c>
      <c r="K413" s="2315">
        <f>IF(K395=0,0,IF(K301="改修",K503/100,K495/100))</f>
        <v>0</v>
      </c>
      <c r="L413" s="2315">
        <f t="shared" si="233"/>
        <v>0</v>
      </c>
      <c r="M413" s="2315">
        <f t="shared" si="233"/>
        <v>0</v>
      </c>
      <c r="N413" s="2316">
        <f t="shared" si="233"/>
        <v>0</v>
      </c>
    </row>
    <row r="414" spans="1:14" ht="15" customHeight="1">
      <c r="A414" s="2274"/>
      <c r="B414" s="2884"/>
      <c r="C414" s="2317" t="s">
        <v>2912</v>
      </c>
      <c r="D414" s="2318"/>
      <c r="E414" s="2313"/>
      <c r="F414" s="2314"/>
      <c r="G414" s="2131">
        <f t="shared" ref="G414:N414" si="234">ROUND(G394*G413,0)</f>
        <v>0</v>
      </c>
      <c r="H414" s="2131">
        <f t="shared" si="234"/>
        <v>0</v>
      </c>
      <c r="I414" s="2131">
        <f t="shared" si="234"/>
        <v>0</v>
      </c>
      <c r="J414" s="2131">
        <f>ROUND(J394*J413,0)</f>
        <v>0</v>
      </c>
      <c r="K414" s="2131">
        <f>ROUND(K394*K413,0)</f>
        <v>0</v>
      </c>
      <c r="L414" s="2131">
        <f t="shared" si="234"/>
        <v>0</v>
      </c>
      <c r="M414" s="2131">
        <f t="shared" si="234"/>
        <v>0</v>
      </c>
      <c r="N414" s="2132">
        <f t="shared" si="234"/>
        <v>0</v>
      </c>
    </row>
    <row r="415" spans="1:14" ht="15" customHeight="1">
      <c r="A415" s="2274"/>
      <c r="B415" s="2885"/>
      <c r="C415" s="2319" t="s">
        <v>2913</v>
      </c>
      <c r="D415" s="2320"/>
      <c r="E415" s="2321"/>
      <c r="F415" s="2322">
        <f>SUM(G415:N415)</f>
        <v>0</v>
      </c>
      <c r="G415" s="2139">
        <f t="shared" ref="G415:N415" si="235">ROUND(G395*G413,0)</f>
        <v>0</v>
      </c>
      <c r="H415" s="2139">
        <f t="shared" si="235"/>
        <v>0</v>
      </c>
      <c r="I415" s="2139">
        <f t="shared" si="235"/>
        <v>0</v>
      </c>
      <c r="J415" s="2139">
        <f>ROUND(J395*J413,0)</f>
        <v>0</v>
      </c>
      <c r="K415" s="2139">
        <f>ROUND(K395*K413,0)</f>
        <v>0</v>
      </c>
      <c r="L415" s="2139">
        <f t="shared" si="235"/>
        <v>0</v>
      </c>
      <c r="M415" s="2139">
        <f t="shared" si="235"/>
        <v>0</v>
      </c>
      <c r="N415" s="2140">
        <f t="shared" si="235"/>
        <v>0</v>
      </c>
    </row>
    <row r="416" spans="1:14" ht="15" customHeight="1">
      <c r="A416" s="2274"/>
      <c r="B416" s="2886" t="s">
        <v>2741</v>
      </c>
      <c r="C416" s="2136" t="str">
        <f>+C396</f>
        <v>(4-2)積上げ共通仮設工事※警備員費・率除外項目除く</v>
      </c>
      <c r="D416" s="2323"/>
      <c r="E416" s="2150">
        <f t="shared" ref="E416:E421" si="236">+E396</f>
        <v>0.2</v>
      </c>
      <c r="F416" s="2046">
        <f t="shared" ref="F416:F421" si="237">INT((F338-F396)*0.5)</f>
        <v>0</v>
      </c>
      <c r="G416" s="2146">
        <f t="shared" ref="G416:G421" si="238">F416-SUM(H416:N416)</f>
        <v>0</v>
      </c>
      <c r="H416" s="2146">
        <f t="shared" ref="H416:N421" si="239">IF(H396=0,0,ROUND($F416/$F396*H396,0))</f>
        <v>0</v>
      </c>
      <c r="I416" s="2146">
        <f t="shared" si="239"/>
        <v>0</v>
      </c>
      <c r="J416" s="2146">
        <f t="shared" si="239"/>
        <v>0</v>
      </c>
      <c r="K416" s="2146">
        <f t="shared" si="239"/>
        <v>0</v>
      </c>
      <c r="L416" s="2146">
        <f t="shared" si="239"/>
        <v>0</v>
      </c>
      <c r="M416" s="2146">
        <f t="shared" si="239"/>
        <v>0</v>
      </c>
      <c r="N416" s="2147">
        <f t="shared" si="239"/>
        <v>0</v>
      </c>
    </row>
    <row r="417" spans="1:14" ht="15" customHeight="1">
      <c r="A417" s="2274"/>
      <c r="B417" s="2884"/>
      <c r="C417" s="2136" t="str">
        <f>+C397</f>
        <v>(5)直接仮設工事</v>
      </c>
      <c r="D417" s="2323"/>
      <c r="E417" s="2150">
        <f t="shared" si="236"/>
        <v>0.2</v>
      </c>
      <c r="F417" s="2046">
        <f t="shared" si="237"/>
        <v>0</v>
      </c>
      <c r="G417" s="2146">
        <f t="shared" si="238"/>
        <v>0</v>
      </c>
      <c r="H417" s="2146">
        <f t="shared" si="239"/>
        <v>0</v>
      </c>
      <c r="I417" s="2146">
        <f t="shared" si="239"/>
        <v>0</v>
      </c>
      <c r="J417" s="2146">
        <f t="shared" si="239"/>
        <v>0</v>
      </c>
      <c r="K417" s="2146">
        <f t="shared" si="239"/>
        <v>0</v>
      </c>
      <c r="L417" s="2146">
        <f t="shared" si="239"/>
        <v>0</v>
      </c>
      <c r="M417" s="2146">
        <f t="shared" si="239"/>
        <v>0</v>
      </c>
      <c r="N417" s="2147">
        <f t="shared" si="239"/>
        <v>0</v>
      </c>
    </row>
    <row r="418" spans="1:14" ht="15" customHeight="1">
      <c r="A418" s="2274"/>
      <c r="B418" s="2884"/>
      <c r="C418" s="2144" t="str">
        <f>C398</f>
        <v>(6)建具工事</v>
      </c>
      <c r="D418" s="2323"/>
      <c r="E418" s="2324">
        <f t="shared" si="236"/>
        <v>0.25</v>
      </c>
      <c r="F418" s="2046">
        <f t="shared" si="237"/>
        <v>0</v>
      </c>
      <c r="G418" s="2146">
        <f t="shared" si="238"/>
        <v>0</v>
      </c>
      <c r="H418" s="2146">
        <f t="shared" si="239"/>
        <v>0</v>
      </c>
      <c r="I418" s="2146">
        <f t="shared" si="239"/>
        <v>0</v>
      </c>
      <c r="J418" s="2146">
        <f t="shared" si="239"/>
        <v>0</v>
      </c>
      <c r="K418" s="2146">
        <f t="shared" si="239"/>
        <v>0</v>
      </c>
      <c r="L418" s="2146">
        <f t="shared" si="239"/>
        <v>0</v>
      </c>
      <c r="M418" s="2146">
        <f t="shared" si="239"/>
        <v>0</v>
      </c>
      <c r="N418" s="2147">
        <f t="shared" si="239"/>
        <v>0</v>
      </c>
    </row>
    <row r="419" spans="1:14" ht="15" customHeight="1">
      <c r="A419" s="2274"/>
      <c r="B419" s="2884"/>
      <c r="C419" s="2136" t="str">
        <f>+C399</f>
        <v>(7)場内小運搬費</v>
      </c>
      <c r="D419" s="2323"/>
      <c r="E419" s="2150">
        <f t="shared" si="236"/>
        <v>0.2</v>
      </c>
      <c r="F419" s="2046">
        <f t="shared" si="237"/>
        <v>0</v>
      </c>
      <c r="G419" s="2146">
        <f t="shared" si="238"/>
        <v>0</v>
      </c>
      <c r="H419" s="2146">
        <f t="shared" si="239"/>
        <v>0</v>
      </c>
      <c r="I419" s="2146">
        <f t="shared" si="239"/>
        <v>0</v>
      </c>
      <c r="J419" s="2146">
        <f t="shared" si="239"/>
        <v>0</v>
      </c>
      <c r="K419" s="2146">
        <f t="shared" si="239"/>
        <v>0</v>
      </c>
      <c r="L419" s="2146">
        <f t="shared" si="239"/>
        <v>0</v>
      </c>
      <c r="M419" s="2146">
        <f t="shared" si="239"/>
        <v>0</v>
      </c>
      <c r="N419" s="2147">
        <f t="shared" si="239"/>
        <v>0</v>
      </c>
    </row>
    <row r="420" spans="1:14" ht="15" customHeight="1">
      <c r="A420" s="2274"/>
      <c r="B420" s="2884"/>
      <c r="C420" s="2136" t="str">
        <f>+C400</f>
        <v>(8)〃人力積込み費</v>
      </c>
      <c r="D420" s="2323"/>
      <c r="E420" s="2150">
        <f t="shared" si="236"/>
        <v>0.2</v>
      </c>
      <c r="F420" s="2046">
        <f t="shared" si="237"/>
        <v>0</v>
      </c>
      <c r="G420" s="2146">
        <f t="shared" si="238"/>
        <v>0</v>
      </c>
      <c r="H420" s="2146">
        <f t="shared" si="239"/>
        <v>0</v>
      </c>
      <c r="I420" s="2146">
        <f t="shared" si="239"/>
        <v>0</v>
      </c>
      <c r="J420" s="2146">
        <f t="shared" si="239"/>
        <v>0</v>
      </c>
      <c r="K420" s="2146">
        <f t="shared" si="239"/>
        <v>0</v>
      </c>
      <c r="L420" s="2146">
        <f t="shared" si="239"/>
        <v>0</v>
      </c>
      <c r="M420" s="2146">
        <f t="shared" si="239"/>
        <v>0</v>
      </c>
      <c r="N420" s="2325">
        <f t="shared" si="239"/>
        <v>0</v>
      </c>
    </row>
    <row r="421" spans="1:14" ht="15" customHeight="1">
      <c r="A421" s="2274"/>
      <c r="B421" s="2884"/>
      <c r="C421" s="2136" t="str">
        <f>+C401</f>
        <v>(9)〃搬出準備費</v>
      </c>
      <c r="D421" s="2323"/>
      <c r="E421" s="2150">
        <f t="shared" si="236"/>
        <v>0.2</v>
      </c>
      <c r="F421" s="2046">
        <f t="shared" si="237"/>
        <v>0</v>
      </c>
      <c r="G421" s="2146">
        <f t="shared" si="238"/>
        <v>0</v>
      </c>
      <c r="H421" s="2146">
        <f t="shared" si="239"/>
        <v>0</v>
      </c>
      <c r="I421" s="2146">
        <f t="shared" si="239"/>
        <v>0</v>
      </c>
      <c r="J421" s="2146">
        <f t="shared" si="239"/>
        <v>0</v>
      </c>
      <c r="K421" s="2146">
        <f t="shared" si="239"/>
        <v>0</v>
      </c>
      <c r="L421" s="2146">
        <f t="shared" si="239"/>
        <v>0</v>
      </c>
      <c r="M421" s="2146">
        <f t="shared" si="239"/>
        <v>0</v>
      </c>
      <c r="N421" s="2325">
        <f t="shared" si="239"/>
        <v>0</v>
      </c>
    </row>
    <row r="422" spans="1:14" ht="15" customHeight="1">
      <c r="A422" s="2274"/>
      <c r="B422" s="2884"/>
      <c r="C422" s="2136"/>
      <c r="D422" s="2323"/>
      <c r="E422" s="2326"/>
      <c r="F422" s="2046"/>
      <c r="G422" s="2146"/>
      <c r="H422" s="2146"/>
      <c r="I422" s="2146"/>
      <c r="J422" s="2146"/>
      <c r="K422" s="2146"/>
      <c r="L422" s="2146"/>
      <c r="M422" s="2146"/>
      <c r="N422" s="2147"/>
    </row>
    <row r="423" spans="1:14" ht="15" customHeight="1">
      <c r="A423" s="2274"/>
      <c r="B423" s="2887"/>
      <c r="C423" s="2136"/>
      <c r="D423" s="2323"/>
      <c r="E423" s="2150"/>
      <c r="F423" s="2046"/>
      <c r="G423" s="2146"/>
      <c r="H423" s="2146"/>
      <c r="I423" s="2146"/>
      <c r="J423" s="2146"/>
      <c r="K423" s="2146"/>
      <c r="L423" s="2146"/>
      <c r="M423" s="2146"/>
      <c r="N423" s="2147"/>
    </row>
    <row r="424" spans="1:14" ht="15" customHeight="1">
      <c r="A424" s="2274"/>
      <c r="B424" s="2886" t="s">
        <v>477</v>
      </c>
      <c r="C424" s="2136" t="s">
        <v>2906</v>
      </c>
      <c r="D424" s="2323"/>
      <c r="E424" s="2150">
        <f>+E404</f>
        <v>0.02</v>
      </c>
      <c r="F424" s="2046">
        <f>INT(F404*E424)</f>
        <v>0</v>
      </c>
      <c r="G424" s="2146">
        <f>F424-SUM(H424:N424)</f>
        <v>0</v>
      </c>
      <c r="H424" s="2146">
        <f t="shared" ref="H424:N426" si="240">IF(H404=0,0,ROUND($F424/$F404*H404,0))</f>
        <v>0</v>
      </c>
      <c r="I424" s="2146">
        <f t="shared" si="240"/>
        <v>0</v>
      </c>
      <c r="J424" s="2146">
        <f t="shared" si="240"/>
        <v>0</v>
      </c>
      <c r="K424" s="2146">
        <f t="shared" si="240"/>
        <v>0</v>
      </c>
      <c r="L424" s="2146">
        <f t="shared" si="240"/>
        <v>0</v>
      </c>
      <c r="M424" s="2146">
        <f t="shared" si="240"/>
        <v>0</v>
      </c>
      <c r="N424" s="2325">
        <f t="shared" si="240"/>
        <v>0</v>
      </c>
    </row>
    <row r="425" spans="1:14" ht="15" customHeight="1">
      <c r="A425" s="2274"/>
      <c r="B425" s="2883"/>
      <c r="C425" s="2152" t="s">
        <v>2953</v>
      </c>
      <c r="D425" s="2323"/>
      <c r="E425" s="2150">
        <f>+E405</f>
        <v>0.02</v>
      </c>
      <c r="F425" s="2046">
        <f>INT(F405*E425)</f>
        <v>0</v>
      </c>
      <c r="G425" s="2146">
        <f>F425-SUM(H425:N425)</f>
        <v>0</v>
      </c>
      <c r="H425" s="2146">
        <f t="shared" si="240"/>
        <v>0</v>
      </c>
      <c r="I425" s="2146">
        <f t="shared" si="240"/>
        <v>0</v>
      </c>
      <c r="J425" s="2146">
        <f t="shared" si="240"/>
        <v>0</v>
      </c>
      <c r="K425" s="2146">
        <f t="shared" si="240"/>
        <v>0</v>
      </c>
      <c r="L425" s="2146">
        <f t="shared" si="240"/>
        <v>0</v>
      </c>
      <c r="M425" s="2146">
        <f t="shared" si="240"/>
        <v>0</v>
      </c>
      <c r="N425" s="2325">
        <f t="shared" si="240"/>
        <v>0</v>
      </c>
    </row>
    <row r="426" spans="1:14" ht="14.25" customHeight="1">
      <c r="A426" s="2274"/>
      <c r="B426" s="2888"/>
      <c r="C426" s="2152" t="s">
        <v>2908</v>
      </c>
      <c r="D426" s="2323"/>
      <c r="E426" s="2150">
        <f>+E406</f>
        <v>0.02</v>
      </c>
      <c r="F426" s="2046">
        <f>INT(F406*E426)</f>
        <v>0</v>
      </c>
      <c r="G426" s="2146">
        <f>F426-SUM(H426:N426)</f>
        <v>0</v>
      </c>
      <c r="H426" s="2146">
        <f t="shared" si="240"/>
        <v>0</v>
      </c>
      <c r="I426" s="2146">
        <f t="shared" si="240"/>
        <v>0</v>
      </c>
      <c r="J426" s="2146">
        <f t="shared" si="240"/>
        <v>0</v>
      </c>
      <c r="K426" s="2146">
        <f t="shared" si="240"/>
        <v>0</v>
      </c>
      <c r="L426" s="2146">
        <f t="shared" si="240"/>
        <v>0</v>
      </c>
      <c r="M426" s="2146">
        <f t="shared" si="240"/>
        <v>0</v>
      </c>
      <c r="N426" s="2325">
        <f t="shared" si="240"/>
        <v>0</v>
      </c>
    </row>
    <row r="427" spans="1:14" ht="14.25" customHeight="1">
      <c r="A427" s="2274"/>
      <c r="B427" s="2327" t="s">
        <v>2573</v>
      </c>
      <c r="C427" s="2328" t="s">
        <v>2916</v>
      </c>
      <c r="D427" s="2329"/>
      <c r="E427" s="2150"/>
      <c r="F427" s="2330">
        <f>SUM(G427:N427)</f>
        <v>0</v>
      </c>
      <c r="G427" s="2531">
        <f t="shared" ref="G427:N427" si="241">G62+G214</f>
        <v>0</v>
      </c>
      <c r="H427" s="2531">
        <f t="shared" si="241"/>
        <v>0</v>
      </c>
      <c r="I427" s="2531">
        <f t="shared" si="241"/>
        <v>0</v>
      </c>
      <c r="J427" s="2531">
        <f>J62+J214</f>
        <v>0</v>
      </c>
      <c r="K427" s="2531">
        <f>K62+K214</f>
        <v>0</v>
      </c>
      <c r="L427" s="2531">
        <f t="shared" si="241"/>
        <v>0</v>
      </c>
      <c r="M427" s="2531">
        <f t="shared" si="241"/>
        <v>0</v>
      </c>
      <c r="N427" s="2532">
        <f t="shared" si="241"/>
        <v>0</v>
      </c>
    </row>
    <row r="428" spans="1:14" ht="15" customHeight="1">
      <c r="A428" s="2274"/>
      <c r="B428" s="2331" t="s">
        <v>2575</v>
      </c>
      <c r="C428" s="2332" t="s">
        <v>2806</v>
      </c>
      <c r="D428" s="2329"/>
      <c r="E428" s="2150"/>
      <c r="F428" s="2277"/>
      <c r="G428" s="2146"/>
      <c r="H428" s="2146"/>
      <c r="I428" s="2146"/>
      <c r="J428" s="2146"/>
      <c r="K428" s="2146"/>
      <c r="L428" s="2146"/>
      <c r="M428" s="2146"/>
      <c r="N428" s="2147"/>
    </row>
    <row r="429" spans="1:14" ht="15" customHeight="1">
      <c r="A429" s="2274"/>
      <c r="B429" s="2333" t="s">
        <v>2644</v>
      </c>
      <c r="C429" s="2334" t="s">
        <v>2954</v>
      </c>
      <c r="D429" s="2335"/>
      <c r="E429" s="2336">
        <f>+E407</f>
        <v>0</v>
      </c>
      <c r="F429" s="2277">
        <f>INT(F407*E429)</f>
        <v>0</v>
      </c>
      <c r="G429" s="2146">
        <f>F429-SUM(H429:N429)</f>
        <v>0</v>
      </c>
      <c r="H429" s="2146">
        <f t="shared" ref="H429:N429" si="242">IF(H407=0,0,ROUND($F429/$F407*H407,0))</f>
        <v>0</v>
      </c>
      <c r="I429" s="2146">
        <f t="shared" si="242"/>
        <v>0</v>
      </c>
      <c r="J429" s="2146">
        <f t="shared" si="242"/>
        <v>0</v>
      </c>
      <c r="K429" s="2146">
        <f t="shared" si="242"/>
        <v>0</v>
      </c>
      <c r="L429" s="2146">
        <f t="shared" si="242"/>
        <v>0</v>
      </c>
      <c r="M429" s="2146">
        <f t="shared" si="242"/>
        <v>0</v>
      </c>
      <c r="N429" s="2325">
        <f t="shared" si="242"/>
        <v>0</v>
      </c>
    </row>
    <row r="430" spans="1:14" ht="15" customHeight="1" thickBot="1">
      <c r="A430" s="2337"/>
      <c r="B430" s="2338"/>
      <c r="C430" s="2339"/>
      <c r="D430" s="2340"/>
      <c r="E430" s="2336"/>
      <c r="F430" s="2341"/>
      <c r="G430" s="2146"/>
      <c r="H430" s="2342"/>
      <c r="I430" s="2342"/>
      <c r="J430" s="2342"/>
      <c r="K430" s="2342"/>
      <c r="L430" s="2342"/>
      <c r="M430" s="2342"/>
      <c r="N430" s="2343"/>
    </row>
    <row r="431" spans="1:14" ht="15" customHeight="1" thickTop="1">
      <c r="A431" s="2344"/>
      <c r="B431" s="2345"/>
      <c r="C431" s="2346" t="s">
        <v>2664</v>
      </c>
      <c r="D431" s="2347"/>
      <c r="E431" s="2348"/>
      <c r="F431" s="2349">
        <f>SUM(F409:F430)</f>
        <v>0</v>
      </c>
      <c r="G431" s="2349">
        <f t="shared" ref="G431:N431" si="243">G410+G412+SUM(G414:G429)</f>
        <v>0</v>
      </c>
      <c r="H431" s="2349">
        <f t="shared" si="243"/>
        <v>0</v>
      </c>
      <c r="I431" s="2349">
        <f t="shared" si="243"/>
        <v>0</v>
      </c>
      <c r="J431" s="2349">
        <f>J410+J412+SUM(J414:J429)</f>
        <v>0</v>
      </c>
      <c r="K431" s="2349">
        <f>K410+K412+SUM(K414:K429)</f>
        <v>0</v>
      </c>
      <c r="L431" s="2349">
        <f t="shared" si="243"/>
        <v>0</v>
      </c>
      <c r="M431" s="2349">
        <f t="shared" si="243"/>
        <v>0</v>
      </c>
      <c r="N431" s="2350">
        <f t="shared" si="243"/>
        <v>0</v>
      </c>
    </row>
    <row r="432" spans="1:14" ht="15" customHeight="1">
      <c r="A432" s="2351"/>
      <c r="B432" s="2352"/>
      <c r="C432" s="2353" t="s">
        <v>2665</v>
      </c>
      <c r="D432" s="2354"/>
      <c r="E432" s="2355"/>
      <c r="F432" s="2260">
        <f>SUM(G432:N432)</f>
        <v>0</v>
      </c>
      <c r="G432" s="2261">
        <f t="shared" ref="G432:N432" si="244">+G317+G431</f>
        <v>0</v>
      </c>
      <c r="H432" s="2261">
        <f t="shared" si="244"/>
        <v>0</v>
      </c>
      <c r="I432" s="2261">
        <f t="shared" si="244"/>
        <v>0</v>
      </c>
      <c r="J432" s="2261">
        <f>+J317+J431</f>
        <v>0</v>
      </c>
      <c r="K432" s="2261">
        <f>+K317+K431</f>
        <v>0</v>
      </c>
      <c r="L432" s="2261">
        <f t="shared" si="244"/>
        <v>0</v>
      </c>
      <c r="M432" s="2261">
        <f t="shared" si="244"/>
        <v>0</v>
      </c>
      <c r="N432" s="2356">
        <f t="shared" si="244"/>
        <v>0</v>
      </c>
    </row>
    <row r="433" spans="1:14" ht="15" customHeight="1">
      <c r="A433" s="1714"/>
      <c r="B433" s="1714"/>
      <c r="C433" s="1974" t="s">
        <v>2918</v>
      </c>
      <c r="D433" s="1974"/>
      <c r="E433" s="1715"/>
      <c r="F433" s="1715"/>
      <c r="G433" s="1975"/>
      <c r="H433" s="1724"/>
      <c r="I433" s="1724"/>
      <c r="J433" s="1724"/>
      <c r="K433" s="1724"/>
      <c r="L433" s="1724"/>
      <c r="M433" s="1724"/>
      <c r="N433" s="1720" t="s">
        <v>2955</v>
      </c>
    </row>
    <row r="434" spans="1:14" ht="15" customHeight="1">
      <c r="A434" s="1714"/>
      <c r="B434" s="1714"/>
      <c r="C434" s="1714"/>
      <c r="D434" s="1714"/>
      <c r="E434" s="1714"/>
      <c r="F434" s="1714"/>
      <c r="G434" s="1724"/>
      <c r="H434" s="1724"/>
      <c r="I434" s="1724"/>
      <c r="J434" s="1724"/>
      <c r="K434" s="1724"/>
      <c r="L434" s="1724"/>
      <c r="M434" s="1724"/>
      <c r="N434" s="1724"/>
    </row>
    <row r="435" spans="1:14" ht="15" customHeight="1">
      <c r="A435" s="2889"/>
      <c r="B435" s="2890"/>
      <c r="C435" s="2890"/>
      <c r="D435" s="2357"/>
      <c r="E435" s="2257" t="s">
        <v>2668</v>
      </c>
      <c r="F435" s="2257" t="s">
        <v>2517</v>
      </c>
      <c r="G435" s="2258" t="str">
        <f t="shared" ref="G435:N435" si="245">+G302</f>
        <v>工事１</v>
      </c>
      <c r="H435" s="2258" t="str">
        <f t="shared" si="245"/>
        <v>工事２</v>
      </c>
      <c r="I435" s="2258" t="str">
        <f t="shared" si="245"/>
        <v>工事３</v>
      </c>
      <c r="J435" s="2258" t="str">
        <f>+J302</f>
        <v>工事３</v>
      </c>
      <c r="K435" s="2258" t="str">
        <f>+K302</f>
        <v>工事３</v>
      </c>
      <c r="L435" s="2258" t="str">
        <f t="shared" si="245"/>
        <v>工事４</v>
      </c>
      <c r="M435" s="2258" t="str">
        <f t="shared" si="245"/>
        <v>工事５</v>
      </c>
      <c r="N435" s="2358" t="str">
        <f t="shared" si="245"/>
        <v>工事６</v>
      </c>
    </row>
    <row r="436" spans="1:14" ht="15" customHeight="1">
      <c r="A436" s="2891"/>
      <c r="B436" s="2892"/>
      <c r="C436" s="2892"/>
      <c r="D436" s="2359"/>
      <c r="E436" s="2355"/>
      <c r="F436" s="2360"/>
      <c r="G436" s="2361"/>
      <c r="H436" s="2361"/>
      <c r="I436" s="2361"/>
      <c r="J436" s="2361"/>
      <c r="K436" s="2361"/>
      <c r="L436" s="2361"/>
      <c r="M436" s="2361"/>
      <c r="N436" s="2362"/>
    </row>
    <row r="437" spans="1:14" ht="15" customHeight="1">
      <c r="A437" s="2363"/>
      <c r="B437" s="2364"/>
      <c r="C437" s="2365" t="s">
        <v>2809</v>
      </c>
      <c r="D437" s="2366"/>
      <c r="E437" s="2367"/>
      <c r="F437" s="2368">
        <f t="shared" ref="F437:N437" si="246">+F432</f>
        <v>0</v>
      </c>
      <c r="G437" s="2368">
        <f t="shared" si="246"/>
        <v>0</v>
      </c>
      <c r="H437" s="2368">
        <f t="shared" si="246"/>
        <v>0</v>
      </c>
      <c r="I437" s="2368">
        <f t="shared" si="246"/>
        <v>0</v>
      </c>
      <c r="J437" s="2368">
        <f>+J432</f>
        <v>0</v>
      </c>
      <c r="K437" s="2368">
        <f>+K432</f>
        <v>0</v>
      </c>
      <c r="L437" s="2368">
        <f t="shared" si="246"/>
        <v>0</v>
      </c>
      <c r="M437" s="2368">
        <f t="shared" si="246"/>
        <v>0</v>
      </c>
      <c r="N437" s="2369">
        <f t="shared" si="246"/>
        <v>0</v>
      </c>
    </row>
    <row r="438" spans="1:14" ht="15" customHeight="1">
      <c r="A438" s="2041"/>
      <c r="B438" s="2044"/>
      <c r="C438" s="2370"/>
      <c r="D438" s="2371"/>
      <c r="E438" s="1886" t="s">
        <v>2956</v>
      </c>
      <c r="F438" s="2372">
        <f>SUM(G438:N438)</f>
        <v>0</v>
      </c>
      <c r="G438" s="2137">
        <f t="shared" ref="G438:N438" si="247">G391+G412+G415+G353+G354</f>
        <v>0</v>
      </c>
      <c r="H438" s="2137">
        <f t="shared" si="247"/>
        <v>0</v>
      </c>
      <c r="I438" s="2137">
        <f t="shared" si="247"/>
        <v>0</v>
      </c>
      <c r="J438" s="2137">
        <f>J391+J412+J415+J353+J354</f>
        <v>0</v>
      </c>
      <c r="K438" s="2137">
        <f>K391+K412+K415+K353+K354</f>
        <v>0</v>
      </c>
      <c r="L438" s="2137">
        <f t="shared" si="247"/>
        <v>0</v>
      </c>
      <c r="M438" s="2137">
        <f t="shared" si="247"/>
        <v>0</v>
      </c>
      <c r="N438" s="2138">
        <f t="shared" si="247"/>
        <v>0</v>
      </c>
    </row>
    <row r="439" spans="1:14" ht="15" customHeight="1">
      <c r="A439" s="2055"/>
      <c r="B439" s="2058"/>
      <c r="C439" s="2373"/>
      <c r="D439" s="2374"/>
      <c r="E439" s="2375"/>
      <c r="F439" s="2286"/>
      <c r="G439" s="2287"/>
      <c r="H439" s="2287"/>
      <c r="I439" s="2287"/>
      <c r="J439" s="2287"/>
      <c r="K439" s="2287"/>
      <c r="L439" s="2287"/>
      <c r="M439" s="2287"/>
      <c r="N439" s="2288"/>
    </row>
    <row r="440" spans="1:14" ht="15" customHeight="1">
      <c r="A440" s="1725"/>
      <c r="B440" s="1726"/>
      <c r="C440" s="1726"/>
      <c r="D440" s="2376"/>
      <c r="E440" s="2367" t="str">
        <f>E302</f>
        <v>有り</v>
      </c>
      <c r="F440" s="2893" t="s">
        <v>2672</v>
      </c>
      <c r="G440" s="2893"/>
      <c r="H440" s="2272"/>
      <c r="I440" s="2272"/>
      <c r="J440" s="2272"/>
      <c r="K440" s="2272"/>
      <c r="L440" s="2272"/>
      <c r="M440" s="2272"/>
      <c r="N440" s="2273"/>
    </row>
    <row r="441" spans="1:14" ht="15" customHeight="1">
      <c r="A441" s="2880" t="s">
        <v>2673</v>
      </c>
      <c r="B441" s="2880"/>
      <c r="C441" s="2894"/>
      <c r="D441" s="2377"/>
      <c r="E441" s="2375" t="str">
        <f>+E303</f>
        <v>有り</v>
      </c>
      <c r="F441" s="2895" t="s">
        <v>2674</v>
      </c>
      <c r="G441" s="2895"/>
      <c r="H441" s="2287"/>
      <c r="I441" s="2287"/>
      <c r="J441" s="2287"/>
      <c r="K441" s="2287"/>
      <c r="L441" s="2287"/>
      <c r="M441" s="2287"/>
      <c r="N441" s="2288"/>
    </row>
    <row r="442" spans="1:14" ht="15" customHeight="1">
      <c r="A442" s="2878"/>
      <c r="B442" s="2378" t="s">
        <v>161</v>
      </c>
      <c r="C442" s="2379" t="s">
        <v>2920</v>
      </c>
      <c r="D442" s="2380"/>
      <c r="E442" s="2381">
        <f>G509/100</f>
        <v>0.11259999999999999</v>
      </c>
      <c r="F442" s="2368">
        <f>SUM(G442:N442)</f>
        <v>0</v>
      </c>
      <c r="G442" s="2382">
        <f t="shared" ref="G442:N442" si="248">G335+G336+G337+G353+G354+G410+G412+G415+SUM(G424:G429)-G447</f>
        <v>0</v>
      </c>
      <c r="H442" s="2382">
        <f t="shared" si="248"/>
        <v>0</v>
      </c>
      <c r="I442" s="2382">
        <f t="shared" si="248"/>
        <v>0</v>
      </c>
      <c r="J442" s="2382">
        <f>J335+J336+J337+J353+J354+J410+J412+J415+SUM(J424:J429)-J447</f>
        <v>0</v>
      </c>
      <c r="K442" s="2382">
        <f>K335+K336+K337+K353+K354+K410+K412+K415+SUM(K424:K429)-K447</f>
        <v>0</v>
      </c>
      <c r="L442" s="2382">
        <f t="shared" si="248"/>
        <v>0</v>
      </c>
      <c r="M442" s="2382">
        <f t="shared" si="248"/>
        <v>0</v>
      </c>
      <c r="N442" s="2383">
        <f t="shared" si="248"/>
        <v>0</v>
      </c>
    </row>
    <row r="443" spans="1:14" ht="15" customHeight="1">
      <c r="A443" s="2879"/>
      <c r="B443" s="2868" t="s">
        <v>2676</v>
      </c>
      <c r="C443" s="2384" t="s">
        <v>2677</v>
      </c>
      <c r="D443" s="2329"/>
      <c r="E443" s="2385">
        <f>IF(E440="無し",0.05,0)</f>
        <v>0</v>
      </c>
      <c r="F443" s="2277">
        <f>SUM(G443:N443)</f>
        <v>0</v>
      </c>
      <c r="G443" s="2137">
        <f t="shared" ref="G443:N443" si="249">G442</f>
        <v>0</v>
      </c>
      <c r="H443" s="2137">
        <f t="shared" si="249"/>
        <v>0</v>
      </c>
      <c r="I443" s="2137">
        <f t="shared" si="249"/>
        <v>0</v>
      </c>
      <c r="J443" s="2137">
        <f>J442</f>
        <v>0</v>
      </c>
      <c r="K443" s="2137">
        <f>K442</f>
        <v>0</v>
      </c>
      <c r="L443" s="2137">
        <f t="shared" si="249"/>
        <v>0</v>
      </c>
      <c r="M443" s="2137">
        <f t="shared" si="249"/>
        <v>0</v>
      </c>
      <c r="N443" s="2138">
        <f t="shared" si="249"/>
        <v>0</v>
      </c>
    </row>
    <row r="444" spans="1:14" ht="15" customHeight="1">
      <c r="A444" s="2879"/>
      <c r="B444" s="2868"/>
      <c r="C444" s="2384" t="s">
        <v>2678</v>
      </c>
      <c r="D444" s="2386"/>
      <c r="E444" s="2150">
        <f>IF(E441="無し",0,0.0004)</f>
        <v>4.0000000000000002E-4</v>
      </c>
      <c r="F444" s="2137">
        <f t="shared" ref="F444:N444" si="250">F442</f>
        <v>0</v>
      </c>
      <c r="G444" s="2137">
        <f t="shared" si="250"/>
        <v>0</v>
      </c>
      <c r="H444" s="2137">
        <f t="shared" si="250"/>
        <v>0</v>
      </c>
      <c r="I444" s="2137">
        <f t="shared" si="250"/>
        <v>0</v>
      </c>
      <c r="J444" s="2137">
        <f>J442</f>
        <v>0</v>
      </c>
      <c r="K444" s="2137">
        <f>K442</f>
        <v>0</v>
      </c>
      <c r="L444" s="2137">
        <f t="shared" si="250"/>
        <v>0</v>
      </c>
      <c r="M444" s="2137">
        <f t="shared" si="250"/>
        <v>0</v>
      </c>
      <c r="N444" s="2138">
        <f t="shared" si="250"/>
        <v>0</v>
      </c>
    </row>
    <row r="445" spans="1:14" ht="15" customHeight="1">
      <c r="A445" s="2879"/>
      <c r="B445" s="2866" t="s">
        <v>2812</v>
      </c>
      <c r="C445" s="2384"/>
      <c r="D445" s="2387"/>
      <c r="E445" s="2387"/>
      <c r="F445" s="2277"/>
      <c r="G445" s="2146"/>
      <c r="H445" s="2146"/>
      <c r="I445" s="2146"/>
      <c r="J445" s="2146"/>
      <c r="K445" s="2146"/>
      <c r="L445" s="2146"/>
      <c r="M445" s="2146"/>
      <c r="N445" s="2147"/>
    </row>
    <row r="446" spans="1:14" ht="15" customHeight="1">
      <c r="A446" s="2879"/>
      <c r="B446" s="2867"/>
      <c r="C446" s="2388" t="s">
        <v>2957</v>
      </c>
      <c r="D446" s="2387"/>
      <c r="E446" s="2387"/>
      <c r="F446" s="2277">
        <f>SUM(G446:N446)</f>
        <v>0</v>
      </c>
      <c r="G446" s="2146">
        <f t="shared" ref="G446:N446" si="251">+SUM(G395:G403,G415:G423)</f>
        <v>0</v>
      </c>
      <c r="H446" s="2146">
        <f t="shared" si="251"/>
        <v>0</v>
      </c>
      <c r="I446" s="2146">
        <f t="shared" si="251"/>
        <v>0</v>
      </c>
      <c r="J446" s="2146">
        <f>+SUM(J395:J403,J415:J423)</f>
        <v>0</v>
      </c>
      <c r="K446" s="2146">
        <f>+SUM(K395:K403,K415:K423)</f>
        <v>0</v>
      </c>
      <c r="L446" s="2146">
        <f t="shared" si="251"/>
        <v>0</v>
      </c>
      <c r="M446" s="2146">
        <f t="shared" si="251"/>
        <v>0</v>
      </c>
      <c r="N446" s="2147">
        <f t="shared" si="251"/>
        <v>0</v>
      </c>
    </row>
    <row r="447" spans="1:14" ht="15" customHeight="1">
      <c r="A447" s="2879"/>
      <c r="B447" s="2868" t="s">
        <v>2679</v>
      </c>
      <c r="C447" s="2389" t="s">
        <v>2814</v>
      </c>
      <c r="D447" s="2390"/>
      <c r="E447" s="2326">
        <v>0</v>
      </c>
      <c r="F447" s="2277">
        <f>SUM(G447:N447)</f>
        <v>0</v>
      </c>
      <c r="G447" s="2146">
        <f t="shared" ref="G447:N447" si="252">+G355</f>
        <v>0</v>
      </c>
      <c r="H447" s="2146">
        <f t="shared" si="252"/>
        <v>0</v>
      </c>
      <c r="I447" s="2146">
        <f t="shared" si="252"/>
        <v>0</v>
      </c>
      <c r="J447" s="2146">
        <f>+J355</f>
        <v>0</v>
      </c>
      <c r="K447" s="2146">
        <f>+K355</f>
        <v>0</v>
      </c>
      <c r="L447" s="2146">
        <f t="shared" si="252"/>
        <v>0</v>
      </c>
      <c r="M447" s="2146">
        <f t="shared" si="252"/>
        <v>0</v>
      </c>
      <c r="N447" s="2147">
        <f t="shared" si="252"/>
        <v>0</v>
      </c>
    </row>
    <row r="448" spans="1:14" ht="15" customHeight="1">
      <c r="A448" s="2879"/>
      <c r="B448" s="2868"/>
      <c r="C448" s="2371"/>
      <c r="D448" s="2391"/>
      <c r="E448" s="2326"/>
      <c r="F448" s="2277"/>
      <c r="G448" s="2146"/>
      <c r="H448" s="2146"/>
      <c r="I448" s="2146"/>
      <c r="J448" s="2146"/>
      <c r="K448" s="2146"/>
      <c r="L448" s="2146"/>
      <c r="M448" s="2146"/>
      <c r="N448" s="2147"/>
    </row>
    <row r="449" spans="1:14" ht="15" customHeight="1">
      <c r="A449" s="2879"/>
      <c r="B449" s="2866"/>
      <c r="C449" s="2392"/>
      <c r="D449" s="2393"/>
      <c r="E449" s="2394"/>
      <c r="F449" s="2286"/>
      <c r="G449" s="2287"/>
      <c r="H449" s="2287"/>
      <c r="I449" s="2287"/>
      <c r="J449" s="2287"/>
      <c r="K449" s="2287"/>
      <c r="L449" s="2287"/>
      <c r="M449" s="2287"/>
      <c r="N449" s="2288"/>
    </row>
    <row r="450" spans="1:14" ht="15" customHeight="1">
      <c r="A450" s="1725"/>
      <c r="B450" s="1726"/>
      <c r="C450" s="2395"/>
      <c r="D450" s="2396"/>
      <c r="E450" s="2397"/>
      <c r="F450" s="2368"/>
      <c r="G450" s="2272"/>
      <c r="H450" s="2272"/>
      <c r="I450" s="2272"/>
      <c r="J450" s="2272"/>
      <c r="K450" s="2272"/>
      <c r="L450" s="2272"/>
      <c r="M450" s="2272"/>
      <c r="N450" s="2273"/>
    </row>
    <row r="451" spans="1:14" ht="15" customHeight="1">
      <c r="A451" s="2880" t="s">
        <v>2680</v>
      </c>
      <c r="B451" s="2880"/>
      <c r="C451" s="2881"/>
      <c r="D451" s="2398"/>
      <c r="E451" s="2399"/>
      <c r="F451" s="2286"/>
      <c r="G451" s="2287"/>
      <c r="H451" s="2287"/>
      <c r="I451" s="2287"/>
      <c r="J451" s="2287"/>
      <c r="K451" s="2287"/>
      <c r="L451" s="2287"/>
      <c r="M451" s="2287"/>
      <c r="N451" s="2288"/>
    </row>
    <row r="452" spans="1:14" ht="15" customHeight="1">
      <c r="A452" s="1737"/>
      <c r="B452" s="2400" t="s">
        <v>161</v>
      </c>
      <c r="C452" s="2401" t="s">
        <v>2958</v>
      </c>
      <c r="D452" s="2380"/>
      <c r="E452" s="2402">
        <f>+E442</f>
        <v>0.11259999999999999</v>
      </c>
      <c r="F452" s="2368">
        <f>INT(F442*E452)</f>
        <v>0</v>
      </c>
      <c r="G452" s="2272">
        <f>F452-SUM(H452:N452)</f>
        <v>0</v>
      </c>
      <c r="H452" s="2272">
        <f t="shared" ref="H452:N452" si="253">IF(H442=0,0,ROUND($F452/$F442*H442,0))</f>
        <v>0</v>
      </c>
      <c r="I452" s="2272">
        <f t="shared" si="253"/>
        <v>0</v>
      </c>
      <c r="J452" s="2272">
        <f t="shared" si="253"/>
        <v>0</v>
      </c>
      <c r="K452" s="2272">
        <f t="shared" si="253"/>
        <v>0</v>
      </c>
      <c r="L452" s="2272">
        <f t="shared" si="253"/>
        <v>0</v>
      </c>
      <c r="M452" s="2272">
        <f t="shared" si="253"/>
        <v>0</v>
      </c>
      <c r="N452" s="2273">
        <f t="shared" si="253"/>
        <v>0</v>
      </c>
    </row>
    <row r="453" spans="1:14" ht="15" customHeight="1">
      <c r="A453" s="1737"/>
      <c r="B453" s="2868" t="s">
        <v>2676</v>
      </c>
      <c r="C453" s="2384" t="s">
        <v>2677</v>
      </c>
      <c r="D453" s="2390"/>
      <c r="E453" s="2150">
        <f>+E443</f>
        <v>0</v>
      </c>
      <c r="F453" s="2277">
        <f>INT((F443*E452*E453)+(F456*E453))</f>
        <v>0</v>
      </c>
      <c r="G453" s="2146">
        <f>F453-SUM(H453:N453)</f>
        <v>0</v>
      </c>
      <c r="H453" s="2146">
        <f t="shared" ref="H453:N453" si="254">IF(H443+H456=0,0,ROUND($F453/$F443*H443,0))</f>
        <v>0</v>
      </c>
      <c r="I453" s="2146">
        <f t="shared" si="254"/>
        <v>0</v>
      </c>
      <c r="J453" s="2146">
        <f t="shared" si="254"/>
        <v>0</v>
      </c>
      <c r="K453" s="2146">
        <f t="shared" si="254"/>
        <v>0</v>
      </c>
      <c r="L453" s="2146">
        <f t="shared" si="254"/>
        <v>0</v>
      </c>
      <c r="M453" s="2146">
        <f t="shared" si="254"/>
        <v>0</v>
      </c>
      <c r="N453" s="2147">
        <f t="shared" si="254"/>
        <v>0</v>
      </c>
    </row>
    <row r="454" spans="1:14" ht="15" customHeight="1">
      <c r="A454" s="1737"/>
      <c r="B454" s="2868"/>
      <c r="C454" s="2384" t="s">
        <v>2678</v>
      </c>
      <c r="D454" s="2390"/>
      <c r="E454" s="2150">
        <f>+E444</f>
        <v>4.0000000000000002E-4</v>
      </c>
      <c r="F454" s="2277">
        <f>INT((F444*E454)+(F456*E454))</f>
        <v>0</v>
      </c>
      <c r="G454" s="2146">
        <f>F454-SUM(H454:N454)</f>
        <v>0</v>
      </c>
      <c r="H454" s="2146">
        <f t="shared" ref="H454:N454" si="255">IF(H444+H456=0,0,ROUND($F454/$F444*H444,0))</f>
        <v>0</v>
      </c>
      <c r="I454" s="2146">
        <f t="shared" si="255"/>
        <v>0</v>
      </c>
      <c r="J454" s="2146">
        <f t="shared" si="255"/>
        <v>0</v>
      </c>
      <c r="K454" s="2146">
        <f t="shared" si="255"/>
        <v>0</v>
      </c>
      <c r="L454" s="2146">
        <f t="shared" si="255"/>
        <v>0</v>
      </c>
      <c r="M454" s="2146">
        <f t="shared" si="255"/>
        <v>0</v>
      </c>
      <c r="N454" s="2147">
        <f t="shared" si="255"/>
        <v>0</v>
      </c>
    </row>
    <row r="455" spans="1:14" ht="15" customHeight="1">
      <c r="A455" s="1737"/>
      <c r="B455" s="2866" t="s">
        <v>2812</v>
      </c>
      <c r="C455" s="2384"/>
      <c r="D455" s="2387"/>
      <c r="E455" s="2403" t="s">
        <v>2816</v>
      </c>
      <c r="F455" s="2277"/>
      <c r="G455" s="2146"/>
      <c r="H455" s="2146"/>
      <c r="I455" s="2146"/>
      <c r="J455" s="2146"/>
      <c r="K455" s="2146"/>
      <c r="L455" s="2146"/>
      <c r="M455" s="2146"/>
      <c r="N455" s="2147"/>
    </row>
    <row r="456" spans="1:14" ht="15" customHeight="1">
      <c r="A456" s="1737"/>
      <c r="B456" s="2867"/>
      <c r="C456" s="2404" t="s">
        <v>2923</v>
      </c>
      <c r="D456" s="2387"/>
      <c r="E456" s="2387"/>
      <c r="F456" s="2094">
        <f>SUM(G456:N456)</f>
        <v>0</v>
      </c>
      <c r="G456" s="2077">
        <f t="shared" ref="G456:N456" si="256">SUM(G338:G345)-SUM(G396:G403)-SUM(G416:G423)</f>
        <v>0</v>
      </c>
      <c r="H456" s="2077">
        <f t="shared" si="256"/>
        <v>0</v>
      </c>
      <c r="I456" s="2077">
        <f t="shared" si="256"/>
        <v>0</v>
      </c>
      <c r="J456" s="2077">
        <f>SUM(J338:J345)-SUM(J396:J403)-SUM(J416:J423)</f>
        <v>0</v>
      </c>
      <c r="K456" s="2077">
        <f>SUM(K338:K345)-SUM(K396:K403)-SUM(K416:K423)</f>
        <v>0</v>
      </c>
      <c r="L456" s="2077">
        <f t="shared" si="256"/>
        <v>0</v>
      </c>
      <c r="M456" s="2077">
        <f t="shared" si="256"/>
        <v>0</v>
      </c>
      <c r="N456" s="2078">
        <f t="shared" si="256"/>
        <v>0</v>
      </c>
    </row>
    <row r="457" spans="1:14" ht="15" customHeight="1">
      <c r="A457" s="1737"/>
      <c r="B457" s="2868" t="s">
        <v>2679</v>
      </c>
      <c r="C457" s="2389" t="s">
        <v>2814</v>
      </c>
      <c r="D457" s="2390"/>
      <c r="E457" s="2150">
        <f>+E447</f>
        <v>0</v>
      </c>
      <c r="F457" s="2277">
        <f>SUM(G457:N457)</f>
        <v>0</v>
      </c>
      <c r="G457" s="2146">
        <f t="shared" ref="G457:N457" si="257">ROUNDDOWN($E457*$D457*G447,0)</f>
        <v>0</v>
      </c>
      <c r="H457" s="2146">
        <f t="shared" si="257"/>
        <v>0</v>
      </c>
      <c r="I457" s="2146">
        <f t="shared" si="257"/>
        <v>0</v>
      </c>
      <c r="J457" s="2146">
        <f>ROUNDDOWN($E457*$D457*J447,0)</f>
        <v>0</v>
      </c>
      <c r="K457" s="2146">
        <f>ROUNDDOWN($E457*$D457*K447,0)</f>
        <v>0</v>
      </c>
      <c r="L457" s="2146">
        <f t="shared" si="257"/>
        <v>0</v>
      </c>
      <c r="M457" s="2146">
        <f t="shared" si="257"/>
        <v>0</v>
      </c>
      <c r="N457" s="2147">
        <f t="shared" si="257"/>
        <v>0</v>
      </c>
    </row>
    <row r="458" spans="1:14" ht="15" customHeight="1">
      <c r="A458" s="1737"/>
      <c r="B458" s="2868"/>
      <c r="C458" s="2371"/>
      <c r="D458" s="2391"/>
      <c r="E458" s="2387">
        <f>+G449</f>
        <v>0</v>
      </c>
      <c r="F458" s="2277"/>
      <c r="G458" s="2146"/>
      <c r="H458" s="2146"/>
      <c r="I458" s="2146"/>
      <c r="J458" s="2146"/>
      <c r="K458" s="2146"/>
      <c r="L458" s="2146"/>
      <c r="M458" s="2146"/>
      <c r="N458" s="2147"/>
    </row>
    <row r="459" spans="1:14" ht="15" customHeight="1">
      <c r="A459" s="2351"/>
      <c r="B459" s="2869"/>
      <c r="C459" s="2374"/>
      <c r="D459" s="2393"/>
      <c r="E459" s="2399">
        <f>+G450</f>
        <v>0</v>
      </c>
      <c r="F459" s="2286"/>
      <c r="G459" s="2287"/>
      <c r="H459" s="2287"/>
      <c r="I459" s="2287"/>
      <c r="J459" s="2287"/>
      <c r="K459" s="2287"/>
      <c r="L459" s="2287"/>
      <c r="M459" s="2287"/>
      <c r="N459" s="2288"/>
    </row>
    <row r="460" spans="1:14" ht="15" customHeight="1">
      <c r="A460" s="2363"/>
      <c r="B460" s="2364"/>
      <c r="C460" s="2364"/>
      <c r="D460" s="2405"/>
      <c r="E460" s="2405"/>
      <c r="F460" s="2368"/>
      <c r="G460" s="2272"/>
      <c r="H460" s="2272"/>
      <c r="I460" s="2272"/>
      <c r="J460" s="2272"/>
      <c r="K460" s="2272"/>
      <c r="L460" s="2272"/>
      <c r="M460" s="2272"/>
      <c r="N460" s="2273"/>
    </row>
    <row r="461" spans="1:14" ht="15" customHeight="1">
      <c r="A461" s="2041"/>
      <c r="B461" s="2044"/>
      <c r="C461" s="2406" t="s">
        <v>2684</v>
      </c>
      <c r="D461" s="2371"/>
      <c r="E461" s="2384"/>
      <c r="F461" s="2277">
        <f>SUM(G461:N461)</f>
        <v>0</v>
      </c>
      <c r="G461" s="2146">
        <f t="shared" ref="G461:N461" si="258">SUM(G452:G459)</f>
        <v>0</v>
      </c>
      <c r="H461" s="2146">
        <f t="shared" si="258"/>
        <v>0</v>
      </c>
      <c r="I461" s="2146">
        <f t="shared" si="258"/>
        <v>0</v>
      </c>
      <c r="J461" s="2146">
        <f>SUM(J452:J459)</f>
        <v>0</v>
      </c>
      <c r="K461" s="2146">
        <f>SUM(K452:K459)</f>
        <v>0</v>
      </c>
      <c r="L461" s="2146">
        <f t="shared" si="258"/>
        <v>0</v>
      </c>
      <c r="M461" s="2146">
        <f t="shared" si="258"/>
        <v>0</v>
      </c>
      <c r="N461" s="2147">
        <f t="shared" si="258"/>
        <v>0</v>
      </c>
    </row>
    <row r="462" spans="1:14" ht="15" customHeight="1">
      <c r="A462" s="2041"/>
      <c r="B462" s="2044"/>
      <c r="C462" s="2406" t="s">
        <v>2665</v>
      </c>
      <c r="D462" s="2371"/>
      <c r="E462" s="2384"/>
      <c r="F462" s="2277">
        <f>SUM(G462:N462)</f>
        <v>0</v>
      </c>
      <c r="G462" s="2146">
        <f t="shared" ref="G462:N462" si="259">+G437</f>
        <v>0</v>
      </c>
      <c r="H462" s="2146">
        <f t="shared" si="259"/>
        <v>0</v>
      </c>
      <c r="I462" s="2146">
        <f t="shared" si="259"/>
        <v>0</v>
      </c>
      <c r="J462" s="2146">
        <f>+J437</f>
        <v>0</v>
      </c>
      <c r="K462" s="2146">
        <f>+K437</f>
        <v>0</v>
      </c>
      <c r="L462" s="2146">
        <f t="shared" si="259"/>
        <v>0</v>
      </c>
      <c r="M462" s="2146">
        <f t="shared" si="259"/>
        <v>0</v>
      </c>
      <c r="N462" s="2147">
        <f t="shared" si="259"/>
        <v>0</v>
      </c>
    </row>
    <row r="463" spans="1:14" ht="15" customHeight="1" thickBot="1">
      <c r="A463" s="2407"/>
      <c r="B463" s="2408"/>
      <c r="C463" s="2409" t="s">
        <v>2685</v>
      </c>
      <c r="D463" s="2410"/>
      <c r="E463" s="2411"/>
      <c r="F463" s="2341">
        <f>SUM(G463:N463)</f>
        <v>0</v>
      </c>
      <c r="G463" s="2342">
        <f t="shared" ref="G463:N463" si="260">SUM(G461:G462)</f>
        <v>0</v>
      </c>
      <c r="H463" s="2342">
        <f t="shared" si="260"/>
        <v>0</v>
      </c>
      <c r="I463" s="2342">
        <f t="shared" si="260"/>
        <v>0</v>
      </c>
      <c r="J463" s="2342">
        <f>SUM(J461:J462)</f>
        <v>0</v>
      </c>
      <c r="K463" s="2342">
        <f>SUM(K461:K462)</f>
        <v>0</v>
      </c>
      <c r="L463" s="2342">
        <f t="shared" si="260"/>
        <v>0</v>
      </c>
      <c r="M463" s="2342">
        <f t="shared" si="260"/>
        <v>0</v>
      </c>
      <c r="N463" s="2343">
        <f t="shared" si="260"/>
        <v>0</v>
      </c>
    </row>
    <row r="464" spans="1:14" ht="15" customHeight="1" thickTop="1">
      <c r="A464" s="1737"/>
      <c r="B464" s="1714"/>
      <c r="C464" s="1714"/>
      <c r="D464" s="2412"/>
      <c r="E464" s="2412"/>
      <c r="F464" s="2413"/>
      <c r="G464" s="2414"/>
      <c r="H464" s="2414"/>
      <c r="I464" s="2414"/>
      <c r="J464" s="2414"/>
      <c r="K464" s="2414"/>
      <c r="L464" s="2414"/>
      <c r="M464" s="2414"/>
      <c r="N464" s="2415"/>
    </row>
    <row r="465" spans="1:16" ht="15" customHeight="1">
      <c r="A465" s="2041"/>
      <c r="B465" s="2044"/>
      <c r="C465" s="2406" t="s">
        <v>2665</v>
      </c>
      <c r="D465" s="2371"/>
      <c r="E465" s="2384"/>
      <c r="F465" s="2277">
        <f>SUM(G465:N465)</f>
        <v>0</v>
      </c>
      <c r="G465" s="2146">
        <f t="shared" ref="G465:N465" si="261">+G462</f>
        <v>0</v>
      </c>
      <c r="H465" s="2146">
        <f t="shared" si="261"/>
        <v>0</v>
      </c>
      <c r="I465" s="2146">
        <f t="shared" si="261"/>
        <v>0</v>
      </c>
      <c r="J465" s="2146">
        <f>+J462</f>
        <v>0</v>
      </c>
      <c r="K465" s="2146">
        <f>+K462</f>
        <v>0</v>
      </c>
      <c r="L465" s="2146">
        <f t="shared" si="261"/>
        <v>0</v>
      </c>
      <c r="M465" s="2146">
        <f t="shared" si="261"/>
        <v>0</v>
      </c>
      <c r="N465" s="2147">
        <f t="shared" si="261"/>
        <v>0</v>
      </c>
    </row>
    <row r="466" spans="1:16" ht="15" customHeight="1">
      <c r="A466" s="2041"/>
      <c r="B466" s="2044"/>
      <c r="C466" s="2406" t="s">
        <v>2686</v>
      </c>
      <c r="D466" s="2371"/>
      <c r="E466" s="2384"/>
      <c r="F466" s="2277">
        <f>SUM(G466:N466)</f>
        <v>0</v>
      </c>
      <c r="G466" s="2146">
        <f t="shared" ref="G466:N466" si="262">+G461-(G463-G468)</f>
        <v>0</v>
      </c>
      <c r="H466" s="2146">
        <f t="shared" si="262"/>
        <v>0</v>
      </c>
      <c r="I466" s="2146">
        <f t="shared" si="262"/>
        <v>0</v>
      </c>
      <c r="J466" s="2146">
        <f>+J461-(J463-J468)</f>
        <v>0</v>
      </c>
      <c r="K466" s="2146">
        <f>+K461-(K463-K468)</f>
        <v>0</v>
      </c>
      <c r="L466" s="2146">
        <f t="shared" si="262"/>
        <v>0</v>
      </c>
      <c r="M466" s="2146">
        <f t="shared" si="262"/>
        <v>0</v>
      </c>
      <c r="N466" s="2147">
        <f t="shared" si="262"/>
        <v>0</v>
      </c>
    </row>
    <row r="467" spans="1:16" ht="15" customHeight="1">
      <c r="A467" s="2041"/>
      <c r="B467" s="2044"/>
      <c r="C467" s="2044"/>
      <c r="D467" s="2384"/>
      <c r="E467" s="2416">
        <f>F469+SUM(H468:N468)</f>
        <v>0</v>
      </c>
      <c r="F467" s="2277" t="s">
        <v>2687</v>
      </c>
      <c r="G467" s="2146">
        <f t="shared" ref="G467:N467" si="263">+G461-G466</f>
        <v>0</v>
      </c>
      <c r="H467" s="2146">
        <f t="shared" si="263"/>
        <v>0</v>
      </c>
      <c r="I467" s="2146">
        <f t="shared" si="263"/>
        <v>0</v>
      </c>
      <c r="J467" s="2146">
        <f>+J461-J466</f>
        <v>0</v>
      </c>
      <c r="K467" s="2146">
        <f>+K461-K466</f>
        <v>0</v>
      </c>
      <c r="L467" s="2146">
        <f t="shared" si="263"/>
        <v>0</v>
      </c>
      <c r="M467" s="2146">
        <f t="shared" si="263"/>
        <v>0</v>
      </c>
      <c r="N467" s="2147">
        <f t="shared" si="263"/>
        <v>0</v>
      </c>
    </row>
    <row r="468" spans="1:16" ht="15" customHeight="1">
      <c r="A468" s="2417"/>
      <c r="B468" s="2042"/>
      <c r="C468" s="2042" t="s">
        <v>2688</v>
      </c>
      <c r="D468" s="2418"/>
      <c r="E468" s="2416">
        <f>ROUNDDOWN(E467,4-LEN(E467))</f>
        <v>0</v>
      </c>
      <c r="F468" s="2419">
        <f>SUM(G468:N468)</f>
        <v>0</v>
      </c>
      <c r="G468" s="2420">
        <f>F469-E469</f>
        <v>0</v>
      </c>
      <c r="H468" s="2420">
        <f t="shared" ref="H468:N468" si="264">ROUNDDOWN(H463,H469)</f>
        <v>0</v>
      </c>
      <c r="I468" s="2420">
        <f t="shared" si="264"/>
        <v>0</v>
      </c>
      <c r="J468" s="2420">
        <f t="shared" si="264"/>
        <v>0</v>
      </c>
      <c r="K468" s="2420">
        <f t="shared" si="264"/>
        <v>0</v>
      </c>
      <c r="L468" s="2420">
        <f t="shared" si="264"/>
        <v>0</v>
      </c>
      <c r="M468" s="2420">
        <f t="shared" si="264"/>
        <v>0</v>
      </c>
      <c r="N468" s="2421">
        <f t="shared" si="264"/>
        <v>0</v>
      </c>
    </row>
    <row r="469" spans="1:16" ht="13.5" customHeight="1">
      <c r="A469" s="2422"/>
      <c r="B469" s="2423"/>
      <c r="C469" s="2423"/>
      <c r="D469" s="2424"/>
      <c r="E469" s="2425">
        <f>E467-E468</f>
        <v>0</v>
      </c>
      <c r="F469" s="2425">
        <f>ROUNDDOWN(G463,G469)</f>
        <v>0</v>
      </c>
      <c r="G469" s="2426">
        <f t="shared" ref="G469:N469" si="265">IF(LEN(G463)&lt;=7,-3,IF(LEN(G463)=8,-4,IF(LEN(G463)&gt;=9,-5,-6)))</f>
        <v>-3</v>
      </c>
      <c r="H469" s="2426">
        <f t="shared" si="265"/>
        <v>-3</v>
      </c>
      <c r="I469" s="2426">
        <f t="shared" si="265"/>
        <v>-3</v>
      </c>
      <c r="J469" s="2426">
        <f>IF(LEN(J463)&lt;=7,-3,IF(LEN(J463)=8,-4,IF(LEN(J463)&gt;=9,-5,-6)))</f>
        <v>-3</v>
      </c>
      <c r="K469" s="2426">
        <f>IF(LEN(K463)&lt;=7,-3,IF(LEN(K463)=8,-4,IF(LEN(K463)&gt;=9,-5,-6)))</f>
        <v>-3</v>
      </c>
      <c r="L469" s="2426">
        <f t="shared" si="265"/>
        <v>-3</v>
      </c>
      <c r="M469" s="2426">
        <f t="shared" si="265"/>
        <v>-3</v>
      </c>
      <c r="N469" s="2427">
        <f t="shared" si="265"/>
        <v>-3</v>
      </c>
    </row>
    <row r="470" spans="1:16" ht="13.5" customHeight="1" thickBot="1">
      <c r="A470" s="2428"/>
      <c r="B470" s="2428"/>
      <c r="C470" s="2428"/>
      <c r="D470" s="2428"/>
      <c r="E470" s="2429"/>
      <c r="F470" s="2429"/>
      <c r="G470" s="2430"/>
      <c r="H470" s="2430"/>
      <c r="I470" s="2430"/>
      <c r="J470" s="2430"/>
      <c r="K470" s="2430"/>
      <c r="L470" s="2430"/>
      <c r="M470" s="2430"/>
      <c r="N470" s="2430"/>
    </row>
    <row r="471" spans="1:16" ht="13.5" customHeight="1">
      <c r="A471" s="2431"/>
      <c r="B471" s="2432"/>
      <c r="C471" s="2433" t="s">
        <v>2689</v>
      </c>
      <c r="D471" s="2434"/>
      <c r="E471" s="2432"/>
      <c r="F471" s="2435" t="s">
        <v>2690</v>
      </c>
      <c r="G471" s="2436" t="str">
        <f t="shared" ref="G471:N471" si="266">G300</f>
        <v/>
      </c>
      <c r="H471" s="2436" t="str">
        <f t="shared" si="266"/>
        <v/>
      </c>
      <c r="I471" s="2436" t="str">
        <f t="shared" si="266"/>
        <v/>
      </c>
      <c r="J471" s="2436" t="str">
        <f>J300</f>
        <v/>
      </c>
      <c r="K471" s="2436" t="str">
        <f>K300</f>
        <v/>
      </c>
      <c r="L471" s="2436" t="str">
        <f t="shared" si="266"/>
        <v/>
      </c>
      <c r="M471" s="2436" t="str">
        <f t="shared" si="266"/>
        <v/>
      </c>
      <c r="N471" s="2436" t="str">
        <f t="shared" si="266"/>
        <v/>
      </c>
      <c r="O471" s="2438"/>
      <c r="P471" s="2438"/>
    </row>
    <row r="472" spans="1:16" ht="13.5" customHeight="1">
      <c r="A472" s="2870"/>
      <c r="B472" s="2873" t="s">
        <v>2691</v>
      </c>
      <c r="C472" s="2439" t="s">
        <v>2692</v>
      </c>
      <c r="D472" s="2074"/>
      <c r="E472" s="2440"/>
      <c r="F472" s="2441" t="s">
        <v>2924</v>
      </c>
      <c r="G472" s="2442" t="e">
        <f>IF($F$360&lt;=10000000,ROUND(7.56*(10000^-0.1105)*(G471^0.2389),2),ROUND(7.56*(($F$360/1000)^-0.1105)*(G471^0.2389),2))</f>
        <v>#VALUE!</v>
      </c>
      <c r="H472" s="2442" t="e">
        <f t="shared" ref="H472:N472" si="267">IF($F$360&lt;=10000000,ROUND(7.56*(10000^-0.1105)*(H471^0.2389),2),ROUND(7.56*(($F$360/1000)^-0.1105)*(H471^0.2389),2))</f>
        <v>#VALUE!</v>
      </c>
      <c r="I472" s="2442" t="e">
        <f t="shared" si="267"/>
        <v>#VALUE!</v>
      </c>
      <c r="J472" s="2442" t="e">
        <f>IF($F$360&lt;=10000000,ROUND(7.56*(10000^-0.1105)*(J471^0.2389),2),ROUND(7.56*(($F$360/1000)^-0.1105)*(J471^0.2389),2))</f>
        <v>#VALUE!</v>
      </c>
      <c r="K472" s="2442" t="e">
        <f>IF($F$360&lt;=10000000,ROUND(7.56*(10000^-0.1105)*(K471^0.2389),2),ROUND(7.56*(($F$360/1000)^-0.1105)*(K471^0.2389),2))</f>
        <v>#VALUE!</v>
      </c>
      <c r="L472" s="2442" t="e">
        <f t="shared" si="267"/>
        <v>#VALUE!</v>
      </c>
      <c r="M472" s="2442" t="e">
        <f t="shared" si="267"/>
        <v>#VALUE!</v>
      </c>
      <c r="N472" s="2442" t="e">
        <f t="shared" si="267"/>
        <v>#VALUE!</v>
      </c>
      <c r="O472" s="2444"/>
      <c r="P472" s="2444"/>
    </row>
    <row r="473" spans="1:16" ht="13.5" customHeight="1">
      <c r="A473" s="2871"/>
      <c r="B473" s="2874"/>
      <c r="C473" s="2876" t="s">
        <v>2694</v>
      </c>
      <c r="D473" s="2445"/>
      <c r="E473" s="2446"/>
      <c r="F473" s="2441" t="s">
        <v>2695</v>
      </c>
      <c r="G473" s="2447">
        <f t="shared" ref="G473:N473" si="268">IF($F$147&lt;=10000000,ROUND(4.33,2),0)</f>
        <v>4.33</v>
      </c>
      <c r="H473" s="2447">
        <f t="shared" si="268"/>
        <v>4.33</v>
      </c>
      <c r="I473" s="2447">
        <f t="shared" si="268"/>
        <v>4.33</v>
      </c>
      <c r="J473" s="2447">
        <f t="shared" si="268"/>
        <v>4.33</v>
      </c>
      <c r="K473" s="2447">
        <f t="shared" si="268"/>
        <v>4.33</v>
      </c>
      <c r="L473" s="2447">
        <f t="shared" si="268"/>
        <v>4.33</v>
      </c>
      <c r="M473" s="2447">
        <f t="shared" si="268"/>
        <v>4.33</v>
      </c>
      <c r="N473" s="2447">
        <f t="shared" si="268"/>
        <v>4.33</v>
      </c>
      <c r="O473" s="2449"/>
      <c r="P473" s="2449"/>
    </row>
    <row r="474" spans="1:16" ht="13.5" customHeight="1">
      <c r="A474" s="2871"/>
      <c r="B474" s="2874"/>
      <c r="C474" s="2877"/>
      <c r="D474" s="2450"/>
      <c r="E474" s="2451"/>
      <c r="F474" s="2441" t="s">
        <v>2696</v>
      </c>
      <c r="G474" s="2447">
        <f t="shared" ref="G474:N474" si="269">IF($F$147&lt;=10000000,ROUND(3.25,2),0)</f>
        <v>3.25</v>
      </c>
      <c r="H474" s="2447">
        <f t="shared" si="269"/>
        <v>3.25</v>
      </c>
      <c r="I474" s="2447">
        <f t="shared" si="269"/>
        <v>3.25</v>
      </c>
      <c r="J474" s="2447">
        <f t="shared" si="269"/>
        <v>3.25</v>
      </c>
      <c r="K474" s="2447">
        <f t="shared" si="269"/>
        <v>3.25</v>
      </c>
      <c r="L474" s="2447">
        <f t="shared" si="269"/>
        <v>3.25</v>
      </c>
      <c r="M474" s="2447">
        <f t="shared" si="269"/>
        <v>3.25</v>
      </c>
      <c r="N474" s="2447">
        <f t="shared" si="269"/>
        <v>3.25</v>
      </c>
      <c r="O474" s="2449"/>
      <c r="P474" s="2449"/>
    </row>
    <row r="475" spans="1:16" ht="13.5" customHeight="1">
      <c r="A475" s="2871"/>
      <c r="B475" s="2874"/>
      <c r="C475" s="2876" t="s">
        <v>2697</v>
      </c>
      <c r="D475" s="2445"/>
      <c r="E475" s="2446"/>
      <c r="F475" s="2441" t="s">
        <v>2695</v>
      </c>
      <c r="G475" s="2452">
        <f t="shared" ref="G475:N475" si="270">IF($F$147&gt;10000000,ROUND(5.78*($F$147/1000)^-0.0313,2),0)</f>
        <v>0</v>
      </c>
      <c r="H475" s="2452">
        <f t="shared" si="270"/>
        <v>0</v>
      </c>
      <c r="I475" s="2452">
        <f t="shared" si="270"/>
        <v>0</v>
      </c>
      <c r="J475" s="2452">
        <f t="shared" si="270"/>
        <v>0</v>
      </c>
      <c r="K475" s="2452">
        <f t="shared" si="270"/>
        <v>0</v>
      </c>
      <c r="L475" s="2452">
        <f t="shared" si="270"/>
        <v>0</v>
      </c>
      <c r="M475" s="2452">
        <f t="shared" si="270"/>
        <v>0</v>
      </c>
      <c r="N475" s="2452">
        <f t="shared" si="270"/>
        <v>0</v>
      </c>
      <c r="O475" s="2454"/>
      <c r="P475" s="2454"/>
    </row>
    <row r="476" spans="1:16" ht="13.5" customHeight="1">
      <c r="A476" s="2872"/>
      <c r="B476" s="2875"/>
      <c r="C476" s="2877"/>
      <c r="D476" s="2450"/>
      <c r="E476" s="2451"/>
      <c r="F476" s="2441" t="s">
        <v>2696</v>
      </c>
      <c r="G476" s="2452">
        <f t="shared" ref="G476:N476" si="271">IF($F$147&gt;10000000,ROUND(4.34*($F$147/1000)^-0.0313,2),0)</f>
        <v>0</v>
      </c>
      <c r="H476" s="2452">
        <f t="shared" si="271"/>
        <v>0</v>
      </c>
      <c r="I476" s="2452">
        <f t="shared" si="271"/>
        <v>0</v>
      </c>
      <c r="J476" s="2452">
        <f t="shared" si="271"/>
        <v>0</v>
      </c>
      <c r="K476" s="2452">
        <f t="shared" si="271"/>
        <v>0</v>
      </c>
      <c r="L476" s="2452">
        <f t="shared" si="271"/>
        <v>0</v>
      </c>
      <c r="M476" s="2452">
        <f t="shared" si="271"/>
        <v>0</v>
      </c>
      <c r="N476" s="2452">
        <f t="shared" si="271"/>
        <v>0</v>
      </c>
      <c r="O476" s="2454"/>
      <c r="P476" s="2454"/>
    </row>
    <row r="477" spans="1:16" ht="13.5" customHeight="1">
      <c r="A477" s="2860" t="s">
        <v>2698</v>
      </c>
      <c r="B477" s="2861"/>
      <c r="C477" s="2861"/>
      <c r="D477" s="2861"/>
      <c r="E477" s="2861"/>
      <c r="F477" s="2862"/>
      <c r="G477" s="2455">
        <f t="shared" ref="G477:N477" si="272">IF($F$147&lt;=10000000,IF(G$259&gt;G$260,G$260,IF(G$259&lt;G$261,G$261,G$259)),IF(G$259&gt;G$262,G$262,IF(G$259&lt;G$263,G$263,G$259)))</f>
        <v>3.25</v>
      </c>
      <c r="H477" s="2455">
        <f t="shared" si="272"/>
        <v>3.25</v>
      </c>
      <c r="I477" s="2455">
        <f t="shared" si="272"/>
        <v>3.25</v>
      </c>
      <c r="J477" s="2455">
        <f t="shared" si="272"/>
        <v>3.25</v>
      </c>
      <c r="K477" s="2455">
        <f t="shared" si="272"/>
        <v>3.25</v>
      </c>
      <c r="L477" s="2455">
        <f t="shared" si="272"/>
        <v>3.25</v>
      </c>
      <c r="M477" s="2455">
        <f t="shared" si="272"/>
        <v>3.25</v>
      </c>
      <c r="N477" s="2455">
        <f t="shared" si="272"/>
        <v>3.25</v>
      </c>
      <c r="O477" s="2454"/>
      <c r="P477" s="2454"/>
    </row>
    <row r="478" spans="1:16" ht="13.5" customHeight="1" thickBot="1">
      <c r="A478" s="2863" t="s">
        <v>2699</v>
      </c>
      <c r="B478" s="2864"/>
      <c r="C478" s="2864"/>
      <c r="D478" s="2864"/>
      <c r="E478" s="2864"/>
      <c r="F478" s="2865"/>
      <c r="G478" s="2457">
        <f t="shared" ref="G478:N478" si="273">ROUND(G477*IF(AND(G305="駅施設",G306="無し"),0.7,IF(AND(G305="駅施設",G306="有り"),0.7,IF(AND(G305="地上建物",G306="無し"),0.9,IF(AND(G305="地上建物",G306="有り"),1,0)))),2)</f>
        <v>2.2799999999999998</v>
      </c>
      <c r="H478" s="2457">
        <f t="shared" si="273"/>
        <v>0</v>
      </c>
      <c r="I478" s="2457">
        <f t="shared" si="273"/>
        <v>0</v>
      </c>
      <c r="J478" s="2457">
        <f>ROUND(J477*IF(AND(J305="駅施設",J306="無し"),0.7,IF(AND(J305="駅施設",J306="有り"),0.7,IF(AND(J305="地上建物",J306="無し"),0.9,IF(AND(J305="地上建物",J306="有り"),1,0)))),2)</f>
        <v>0</v>
      </c>
      <c r="K478" s="2457">
        <f>ROUND(K477*IF(AND(K305="駅施設",K306="無し"),0.7,IF(AND(K305="駅施設",K306="有り"),0.7,IF(AND(K305="地上建物",K306="無し"),0.9,IF(AND(K305="地上建物",K306="有り"),1,0)))),2)</f>
        <v>0</v>
      </c>
      <c r="L478" s="2457">
        <f t="shared" si="273"/>
        <v>0</v>
      </c>
      <c r="M478" s="2457">
        <f t="shared" si="273"/>
        <v>0</v>
      </c>
      <c r="N478" s="2457">
        <f t="shared" si="273"/>
        <v>0</v>
      </c>
      <c r="O478" s="2454"/>
      <c r="P478" s="2454"/>
    </row>
    <row r="479" spans="1:16" ht="13.5" customHeight="1" thickBot="1">
      <c r="A479" s="2459"/>
      <c r="B479" s="2460"/>
      <c r="C479" s="2460"/>
      <c r="D479" s="2460"/>
      <c r="E479" s="2460"/>
      <c r="F479" s="2460"/>
      <c r="G479" s="2461"/>
      <c r="H479" s="2461"/>
      <c r="I479" s="2461"/>
      <c r="J479" s="2461"/>
      <c r="K479" s="2461"/>
      <c r="L479" s="2461"/>
      <c r="M479" s="2461"/>
      <c r="N479" s="2461"/>
      <c r="O479" s="2454"/>
      <c r="P479" s="2454"/>
    </row>
    <row r="480" spans="1:16" ht="13.5" customHeight="1">
      <c r="A480" s="2462"/>
      <c r="B480" s="2463"/>
      <c r="C480" s="2464" t="s">
        <v>2689</v>
      </c>
      <c r="D480" s="2465"/>
      <c r="E480" s="2463"/>
      <c r="F480" s="2466" t="s">
        <v>2690</v>
      </c>
      <c r="G480" s="2436" t="str">
        <f t="shared" ref="G480:N480" si="274">G300</f>
        <v/>
      </c>
      <c r="H480" s="2436" t="str">
        <f t="shared" si="274"/>
        <v/>
      </c>
      <c r="I480" s="2436" t="str">
        <f t="shared" si="274"/>
        <v/>
      </c>
      <c r="J480" s="2436" t="str">
        <f>J300</f>
        <v/>
      </c>
      <c r="K480" s="2436" t="str">
        <f>K300</f>
        <v/>
      </c>
      <c r="L480" s="2436" t="str">
        <f t="shared" si="274"/>
        <v/>
      </c>
      <c r="M480" s="2436" t="str">
        <f t="shared" si="274"/>
        <v/>
      </c>
      <c r="N480" s="2436" t="str">
        <f t="shared" si="274"/>
        <v/>
      </c>
      <c r="O480" s="2438"/>
      <c r="P480" s="2438"/>
    </row>
    <row r="481" spans="1:16" ht="13.5" customHeight="1">
      <c r="A481" s="2847"/>
      <c r="B481" s="2849" t="s">
        <v>2700</v>
      </c>
      <c r="C481" s="2467" t="s">
        <v>2692</v>
      </c>
      <c r="D481" s="2042"/>
      <c r="E481" s="2468"/>
      <c r="F481" s="1990" t="s">
        <v>2701</v>
      </c>
      <c r="G481" s="2442" t="e">
        <f>IF($F$360&lt;=5000000,ROUND(18.03*(5000^-0.2027)*(G480^0.4017),2),ROUND(18.03*(($F$360/1000)^-0.2027)*(G480^0.4017),2))</f>
        <v>#VALUE!</v>
      </c>
      <c r="H481" s="2442" t="e">
        <f t="shared" ref="H481:N481" si="275">IF($F$360&lt;=5000000,ROUND(18.03*(5000^-0.2027)*(H480^0.4017),2),ROUND(18.03*(($F$360/1000)^-0.2027)*(H480^0.4017),2))</f>
        <v>#VALUE!</v>
      </c>
      <c r="I481" s="2442" t="e">
        <f t="shared" si="275"/>
        <v>#VALUE!</v>
      </c>
      <c r="J481" s="2442" t="e">
        <f>IF($F$360&lt;=5000000,ROUND(18.03*(5000^-0.2027)*(J480^0.4017),2),ROUND(18.03*(($F$360/1000)^-0.2027)*(J480^0.4017),2))</f>
        <v>#VALUE!</v>
      </c>
      <c r="K481" s="2442" t="e">
        <f>IF($F$360&lt;=5000000,ROUND(18.03*(5000^-0.2027)*(K480^0.4017),2),ROUND(18.03*(($F$360/1000)^-0.2027)*(K480^0.4017),2))</f>
        <v>#VALUE!</v>
      </c>
      <c r="L481" s="2442" t="e">
        <f t="shared" si="275"/>
        <v>#VALUE!</v>
      </c>
      <c r="M481" s="2442" t="e">
        <f t="shared" si="275"/>
        <v>#VALUE!</v>
      </c>
      <c r="N481" s="2442" t="e">
        <f t="shared" si="275"/>
        <v>#VALUE!</v>
      </c>
      <c r="O481" s="2444"/>
      <c r="P481" s="2444"/>
    </row>
    <row r="482" spans="1:16" ht="13.5" customHeight="1">
      <c r="A482" s="2848"/>
      <c r="B482" s="2850"/>
      <c r="C482" s="2858" t="s">
        <v>2702</v>
      </c>
      <c r="D482" s="2051"/>
      <c r="E482" s="2469"/>
      <c r="F482" s="1990" t="s">
        <v>2695</v>
      </c>
      <c r="G482" s="2470">
        <f>IF($F$360&lt;=5000000,ROUND(6.07,2),0)</f>
        <v>6.07</v>
      </c>
      <c r="H482" s="2470">
        <f t="shared" ref="H482:N482" si="276">IF($F$360&lt;=5000000,ROUND(6.07,2),0)</f>
        <v>6.07</v>
      </c>
      <c r="I482" s="2470">
        <f t="shared" si="276"/>
        <v>6.07</v>
      </c>
      <c r="J482" s="2470">
        <f t="shared" si="276"/>
        <v>6.07</v>
      </c>
      <c r="K482" s="2470">
        <f t="shared" si="276"/>
        <v>6.07</v>
      </c>
      <c r="L482" s="2470">
        <f t="shared" si="276"/>
        <v>6.07</v>
      </c>
      <c r="M482" s="2470">
        <f t="shared" si="276"/>
        <v>6.07</v>
      </c>
      <c r="N482" s="2470">
        <f t="shared" si="276"/>
        <v>6.07</v>
      </c>
      <c r="O482" s="2449"/>
      <c r="P482" s="2449"/>
    </row>
    <row r="483" spans="1:16" ht="13.5" customHeight="1">
      <c r="A483" s="2848"/>
      <c r="B483" s="2850"/>
      <c r="C483" s="2859"/>
      <c r="D483" s="2472"/>
      <c r="E483" s="2473"/>
      <c r="F483" s="1990" t="s">
        <v>2696</v>
      </c>
      <c r="G483" s="2470">
        <f>IF($F$360&lt;=5000000,ROUND(3.59,2),0)</f>
        <v>3.59</v>
      </c>
      <c r="H483" s="2470">
        <f t="shared" ref="H483:N483" si="277">IF($F$360&lt;=5000000,ROUND(3.59,2),0)</f>
        <v>3.59</v>
      </c>
      <c r="I483" s="2470">
        <f t="shared" si="277"/>
        <v>3.59</v>
      </c>
      <c r="J483" s="2470">
        <f t="shared" si="277"/>
        <v>3.59</v>
      </c>
      <c r="K483" s="2470">
        <f t="shared" si="277"/>
        <v>3.59</v>
      </c>
      <c r="L483" s="2470">
        <f t="shared" si="277"/>
        <v>3.59</v>
      </c>
      <c r="M483" s="2470">
        <f t="shared" si="277"/>
        <v>3.59</v>
      </c>
      <c r="N483" s="2470">
        <f t="shared" si="277"/>
        <v>3.59</v>
      </c>
      <c r="O483" s="2449"/>
      <c r="P483" s="2449"/>
    </row>
    <row r="484" spans="1:16" ht="13.5" customHeight="1">
      <c r="A484" s="2848"/>
      <c r="B484" s="2850"/>
      <c r="C484" s="2858" t="s">
        <v>2703</v>
      </c>
      <c r="D484" s="2051"/>
      <c r="E484" s="2469"/>
      <c r="F484" s="1990" t="s">
        <v>2695</v>
      </c>
      <c r="G484" s="2474">
        <f>IF($F$360&gt;5000000,ROUND(11.74*($F$360/1000)^-0.0774,2),0)</f>
        <v>0</v>
      </c>
      <c r="H484" s="2474">
        <f t="shared" ref="H484:N484" si="278">IF($F$360&gt;5000000,ROUND(11.74*($F$360/1000)^-0.0774,2),0)</f>
        <v>0</v>
      </c>
      <c r="I484" s="2474">
        <f t="shared" si="278"/>
        <v>0</v>
      </c>
      <c r="J484" s="2474">
        <f t="shared" si="278"/>
        <v>0</v>
      </c>
      <c r="K484" s="2474">
        <f t="shared" si="278"/>
        <v>0</v>
      </c>
      <c r="L484" s="2474">
        <f t="shared" si="278"/>
        <v>0</v>
      </c>
      <c r="M484" s="2474">
        <f t="shared" si="278"/>
        <v>0</v>
      </c>
      <c r="N484" s="2474">
        <f t="shared" si="278"/>
        <v>0</v>
      </c>
      <c r="O484" s="2454"/>
      <c r="P484" s="2454"/>
    </row>
    <row r="485" spans="1:16" ht="13.5" customHeight="1">
      <c r="A485" s="2856"/>
      <c r="B485" s="2857"/>
      <c r="C485" s="2859"/>
      <c r="D485" s="2472"/>
      <c r="E485" s="2473"/>
      <c r="F485" s="1990" t="s">
        <v>2696</v>
      </c>
      <c r="G485" s="2474">
        <f>IF($F$360&gt;5000000,ROUND(6.94*($F$360/1000)^-0.0774,2),0)</f>
        <v>0</v>
      </c>
      <c r="H485" s="2474">
        <f t="shared" ref="H485:N485" si="279">IF($F$360&gt;5000000,ROUND(6.94*($F$360/1000)^-0.0774,2),0)</f>
        <v>0</v>
      </c>
      <c r="I485" s="2474">
        <f t="shared" si="279"/>
        <v>0</v>
      </c>
      <c r="J485" s="2474">
        <f t="shared" si="279"/>
        <v>0</v>
      </c>
      <c r="K485" s="2474">
        <f t="shared" si="279"/>
        <v>0</v>
      </c>
      <c r="L485" s="2474">
        <f t="shared" si="279"/>
        <v>0</v>
      </c>
      <c r="M485" s="2474">
        <f t="shared" si="279"/>
        <v>0</v>
      </c>
      <c r="N485" s="2474">
        <f t="shared" si="279"/>
        <v>0</v>
      </c>
      <c r="O485" s="2454"/>
      <c r="P485" s="2454"/>
    </row>
    <row r="486" spans="1:16" ht="13.5" customHeight="1">
      <c r="A486" s="2860" t="s">
        <v>2698</v>
      </c>
      <c r="B486" s="2861"/>
      <c r="C486" s="2861"/>
      <c r="D486" s="2861"/>
      <c r="E486" s="2861"/>
      <c r="F486" s="2862"/>
      <c r="G486" s="2476">
        <f t="shared" ref="G486:N486" si="280">IF($F$147&lt;=5000000,IF(G$268&gt;G$269,G$269,IF(G$268&lt;G$270,G$270,G$268)),IF(G$268&gt;G$271,G$271,IF(G$268&lt;G$272,G$272,G$268)))</f>
        <v>3.59</v>
      </c>
      <c r="H486" s="2476">
        <f t="shared" si="280"/>
        <v>3.59</v>
      </c>
      <c r="I486" s="2476">
        <f t="shared" si="280"/>
        <v>3.59</v>
      </c>
      <c r="J486" s="2476">
        <f t="shared" si="280"/>
        <v>3.59</v>
      </c>
      <c r="K486" s="2476">
        <f t="shared" si="280"/>
        <v>3.59</v>
      </c>
      <c r="L486" s="2476">
        <f t="shared" si="280"/>
        <v>3.59</v>
      </c>
      <c r="M486" s="2476">
        <f t="shared" si="280"/>
        <v>3.59</v>
      </c>
      <c r="N486" s="2476">
        <f t="shared" si="280"/>
        <v>3.59</v>
      </c>
      <c r="O486" s="2478"/>
      <c r="P486" s="2478"/>
    </row>
    <row r="487" spans="1:16" ht="13.5" customHeight="1" thickBot="1">
      <c r="A487" s="2863" t="s">
        <v>2699</v>
      </c>
      <c r="B487" s="2864"/>
      <c r="C487" s="2864"/>
      <c r="D487" s="2864"/>
      <c r="E487" s="2864"/>
      <c r="F487" s="2865"/>
      <c r="G487" s="2457">
        <f t="shared" ref="G487:N487" si="281">ROUND(G486*IF(AND(G305="駅施設",G306="無し"),0.7,IF(AND(G305="駅施設",G306="有り"),0.7,IF(AND(G305="地上建物",G306="無し"),0.9,IF(AND(G305="地上建物",G306="有り"),1,0)))),2)</f>
        <v>2.5099999999999998</v>
      </c>
      <c r="H487" s="2457">
        <f t="shared" si="281"/>
        <v>0</v>
      </c>
      <c r="I487" s="2457">
        <f t="shared" si="281"/>
        <v>0</v>
      </c>
      <c r="J487" s="2457">
        <f>ROUND(J486*IF(AND(J305="駅施設",J306="無し"),0.7,IF(AND(J305="駅施設",J306="有り"),0.7,IF(AND(J305="地上建物",J306="無し"),0.9,IF(AND(J305="地上建物",J306="有り"),1,0)))),2)</f>
        <v>0</v>
      </c>
      <c r="K487" s="2457">
        <f>ROUND(K486*IF(AND(K305="駅施設",K306="無し"),0.7,IF(AND(K305="駅施設",K306="有り"),0.7,IF(AND(K305="地上建物",K306="無し"),0.9,IF(AND(K305="地上建物",K306="有り"),1,0)))),2)</f>
        <v>0</v>
      </c>
      <c r="L487" s="2457">
        <f t="shared" si="281"/>
        <v>0</v>
      </c>
      <c r="M487" s="2457">
        <f t="shared" si="281"/>
        <v>0</v>
      </c>
      <c r="N487" s="2457">
        <f t="shared" si="281"/>
        <v>0</v>
      </c>
      <c r="O487" s="2454"/>
      <c r="P487" s="2454"/>
    </row>
    <row r="488" spans="1:16" ht="13.5" customHeight="1" thickBot="1">
      <c r="A488" s="1771"/>
      <c r="B488" s="1771"/>
      <c r="C488" s="1771"/>
      <c r="D488" s="1771"/>
      <c r="E488" s="2479"/>
      <c r="F488" s="2479"/>
      <c r="G488" s="2480"/>
      <c r="H488" s="2480"/>
      <c r="I488" s="2480"/>
      <c r="J488" s="2480"/>
      <c r="K488" s="2480"/>
      <c r="L488" s="2480"/>
      <c r="M488" s="2480"/>
      <c r="N488" s="2480"/>
    </row>
    <row r="489" spans="1:16" ht="13.5" customHeight="1">
      <c r="A489" s="2462"/>
      <c r="B489" s="2463"/>
      <c r="C489" s="2464" t="s">
        <v>2704</v>
      </c>
      <c r="D489" s="2465"/>
      <c r="E489" s="2463"/>
      <c r="F489" s="2466" t="s">
        <v>2690</v>
      </c>
      <c r="G489" s="2481" t="str">
        <f t="shared" ref="G489:N489" si="282">+G497</f>
        <v/>
      </c>
      <c r="H489" s="2481" t="str">
        <f t="shared" si="282"/>
        <v/>
      </c>
      <c r="I489" s="2481" t="str">
        <f t="shared" si="282"/>
        <v/>
      </c>
      <c r="J489" s="2481" t="str">
        <f>+J497</f>
        <v/>
      </c>
      <c r="K489" s="2481" t="str">
        <f>+K497</f>
        <v/>
      </c>
      <c r="L489" s="2481" t="str">
        <f t="shared" si="282"/>
        <v/>
      </c>
      <c r="M489" s="2481" t="str">
        <f t="shared" si="282"/>
        <v/>
      </c>
      <c r="N489" s="2481" t="str">
        <f t="shared" si="282"/>
        <v/>
      </c>
    </row>
    <row r="490" spans="1:16" ht="13.5" customHeight="1">
      <c r="A490" s="2847"/>
      <c r="B490" s="2849" t="s">
        <v>2691</v>
      </c>
      <c r="C490" s="2467" t="s">
        <v>2705</v>
      </c>
      <c r="D490" s="2042"/>
      <c r="E490" s="2468"/>
      <c r="F490" s="1990" t="s">
        <v>2817</v>
      </c>
      <c r="G490" s="2442" t="e">
        <f>IF($F391&lt;=10000000,ROUND(151.08*((10000)^-0.3396)*(G489^0.586),2),ROUND(151.08*(($F391/1000)^-0.3396)*(G489^0.586),2))</f>
        <v>#VALUE!</v>
      </c>
      <c r="H490" s="2442" t="e">
        <f t="shared" ref="H490:N490" si="283">IF($F391&lt;=10000000,ROUND(151.08*((10000)^-0.3396)*(H489^0.586),2),ROUND(151.08*(($F391/1000)^-0.3396)*(H489^0.586),2))</f>
        <v>#VALUE!</v>
      </c>
      <c r="I490" s="2442" t="e">
        <f t="shared" si="283"/>
        <v>#VALUE!</v>
      </c>
      <c r="J490" s="2442" t="e">
        <f t="shared" si="283"/>
        <v>#VALUE!</v>
      </c>
      <c r="K490" s="2442" t="e">
        <f t="shared" si="283"/>
        <v>#VALUE!</v>
      </c>
      <c r="L490" s="2442" t="e">
        <f t="shared" si="283"/>
        <v>#VALUE!</v>
      </c>
      <c r="M490" s="2442" t="e">
        <f t="shared" si="283"/>
        <v>#VALUE!</v>
      </c>
      <c r="N490" s="2442" t="e">
        <f t="shared" si="283"/>
        <v>#VALUE!</v>
      </c>
    </row>
    <row r="491" spans="1:16" ht="13.5" customHeight="1">
      <c r="A491" s="2848"/>
      <c r="B491" s="2850"/>
      <c r="C491" s="2858" t="s">
        <v>2707</v>
      </c>
      <c r="D491" s="2051"/>
      <c r="E491" s="2469"/>
      <c r="F491" s="1990" t="s">
        <v>2695</v>
      </c>
      <c r="G491" s="2483">
        <f>IF($F391&lt;=10000000,ROUND(20.13,2),0)</f>
        <v>20.13</v>
      </c>
      <c r="H491" s="2483">
        <f t="shared" ref="H491:N491" si="284">IF($F391&lt;=10000000,ROUND(20.13,2),0)</f>
        <v>20.13</v>
      </c>
      <c r="I491" s="2483">
        <f t="shared" si="284"/>
        <v>20.13</v>
      </c>
      <c r="J491" s="2483">
        <f t="shared" si="284"/>
        <v>20.13</v>
      </c>
      <c r="K491" s="2483">
        <f t="shared" si="284"/>
        <v>20.13</v>
      </c>
      <c r="L491" s="2483">
        <f t="shared" si="284"/>
        <v>20.13</v>
      </c>
      <c r="M491" s="2483">
        <f t="shared" si="284"/>
        <v>20.13</v>
      </c>
      <c r="N491" s="2483">
        <f t="shared" si="284"/>
        <v>20.13</v>
      </c>
    </row>
    <row r="492" spans="1:16" ht="13.5" customHeight="1">
      <c r="A492" s="2848"/>
      <c r="B492" s="2850"/>
      <c r="C492" s="2859"/>
      <c r="D492" s="2472"/>
      <c r="E492" s="2473"/>
      <c r="F492" s="1990" t="s">
        <v>2696</v>
      </c>
      <c r="G492" s="2483">
        <f>IF($F391&lt;=10000000,ROUND(10.01,2),0)</f>
        <v>10.01</v>
      </c>
      <c r="H492" s="2483">
        <f t="shared" ref="H492:N492" si="285">IF($F391&lt;=10000000,ROUND(10.01,2),0)</f>
        <v>10.01</v>
      </c>
      <c r="I492" s="2483">
        <f t="shared" si="285"/>
        <v>10.01</v>
      </c>
      <c r="J492" s="2483">
        <f t="shared" si="285"/>
        <v>10.01</v>
      </c>
      <c r="K492" s="2483">
        <f t="shared" si="285"/>
        <v>10.01</v>
      </c>
      <c r="L492" s="2483">
        <f t="shared" si="285"/>
        <v>10.01</v>
      </c>
      <c r="M492" s="2483">
        <f t="shared" si="285"/>
        <v>10.01</v>
      </c>
      <c r="N492" s="2483">
        <f t="shared" si="285"/>
        <v>10.01</v>
      </c>
    </row>
    <row r="493" spans="1:16" ht="13.5" customHeight="1">
      <c r="A493" s="2848"/>
      <c r="B493" s="2850"/>
      <c r="C493" s="2858" t="s">
        <v>2708</v>
      </c>
      <c r="D493" s="2051"/>
      <c r="E493" s="2469"/>
      <c r="F493" s="1990" t="s">
        <v>2695</v>
      </c>
      <c r="G493" s="2485">
        <f>IF($F391&gt;10000000,ROUND(75.97*($F391/1000)^-0.1442,2),0)</f>
        <v>0</v>
      </c>
      <c r="H493" s="2485">
        <f t="shared" ref="H493:N493" si="286">IF($F391&gt;10000000,ROUND(75.97*($F391/1000)^-0.1442,2),0)</f>
        <v>0</v>
      </c>
      <c r="I493" s="2485">
        <f t="shared" si="286"/>
        <v>0</v>
      </c>
      <c r="J493" s="2485">
        <f t="shared" si="286"/>
        <v>0</v>
      </c>
      <c r="K493" s="2485">
        <f t="shared" si="286"/>
        <v>0</v>
      </c>
      <c r="L493" s="2485">
        <f t="shared" si="286"/>
        <v>0</v>
      </c>
      <c r="M493" s="2485">
        <f t="shared" si="286"/>
        <v>0</v>
      </c>
      <c r="N493" s="2485">
        <f t="shared" si="286"/>
        <v>0</v>
      </c>
    </row>
    <row r="494" spans="1:16" ht="13.5" customHeight="1">
      <c r="A494" s="2856"/>
      <c r="B494" s="2857"/>
      <c r="C494" s="2859"/>
      <c r="D494" s="2472"/>
      <c r="E494" s="2473"/>
      <c r="F494" s="1990" t="s">
        <v>2696</v>
      </c>
      <c r="G494" s="2485">
        <f>IF($F391&gt;10000000,ROUND(37.76*($F391/1000)^-0.1442,2),0)</f>
        <v>0</v>
      </c>
      <c r="H494" s="2485">
        <f t="shared" ref="H494:N494" si="287">IF($F391&gt;10000000,ROUND(37.76*($F391/1000)^-0.1442,2),0)</f>
        <v>0</v>
      </c>
      <c r="I494" s="2485">
        <f t="shared" si="287"/>
        <v>0</v>
      </c>
      <c r="J494" s="2485">
        <f t="shared" si="287"/>
        <v>0</v>
      </c>
      <c r="K494" s="2485">
        <f t="shared" si="287"/>
        <v>0</v>
      </c>
      <c r="L494" s="2485">
        <f t="shared" si="287"/>
        <v>0</v>
      </c>
      <c r="M494" s="2485">
        <f t="shared" si="287"/>
        <v>0</v>
      </c>
      <c r="N494" s="2485">
        <f t="shared" si="287"/>
        <v>0</v>
      </c>
    </row>
    <row r="495" spans="1:16" ht="13.5" customHeight="1" thickBot="1">
      <c r="A495" s="2853" t="s">
        <v>2709</v>
      </c>
      <c r="B495" s="2854"/>
      <c r="C495" s="2854"/>
      <c r="D495" s="2855"/>
      <c r="E495" s="2487"/>
      <c r="F495" s="2488"/>
      <c r="G495" s="2489" t="e">
        <f>IF($F391&lt;=10000000,IF(G490&gt;G491,G491,IF(G490&lt;G492,G492,G490)),IF(G490&gt;G493,G493,IF(G490&lt;G494,G494,G490)))</f>
        <v>#VALUE!</v>
      </c>
      <c r="H495" s="2489" t="e">
        <f t="shared" ref="H495:N495" si="288">IF($F391&lt;=10000000,IF(H490&gt;H491,H491,IF(H490&lt;H492,H492,H490)),IF(H490&gt;H493,H493,IF(H490&lt;H494,H494,H490)))</f>
        <v>#VALUE!</v>
      </c>
      <c r="I495" s="2489" t="e">
        <f t="shared" si="288"/>
        <v>#VALUE!</v>
      </c>
      <c r="J495" s="2489" t="e">
        <f t="shared" si="288"/>
        <v>#VALUE!</v>
      </c>
      <c r="K495" s="2489" t="e">
        <f t="shared" si="288"/>
        <v>#VALUE!</v>
      </c>
      <c r="L495" s="2489" t="e">
        <f t="shared" si="288"/>
        <v>#VALUE!</v>
      </c>
      <c r="M495" s="2489" t="e">
        <f t="shared" si="288"/>
        <v>#VALUE!</v>
      </c>
      <c r="N495" s="2489" t="e">
        <f t="shared" si="288"/>
        <v>#VALUE!</v>
      </c>
    </row>
    <row r="496" spans="1:16" ht="13.5" customHeight="1" thickBot="1">
      <c r="A496" s="1771"/>
      <c r="B496" s="1771"/>
      <c r="C496" s="1771"/>
      <c r="D496" s="1771"/>
      <c r="E496" s="1771"/>
      <c r="F496" s="1771"/>
      <c r="G496" s="2491"/>
      <c r="H496" s="2491"/>
      <c r="I496" s="2491"/>
      <c r="J496" s="2491"/>
      <c r="K496" s="2491"/>
      <c r="L496" s="2491"/>
      <c r="M496" s="2491"/>
      <c r="N496" s="2491"/>
    </row>
    <row r="497" spans="1:14" ht="13.5" customHeight="1">
      <c r="A497" s="2462"/>
      <c r="B497" s="2463"/>
      <c r="C497" s="2464" t="s">
        <v>2704</v>
      </c>
      <c r="D497" s="2465"/>
      <c r="E497" s="2463"/>
      <c r="F497" s="2466" t="s">
        <v>2690</v>
      </c>
      <c r="G497" s="2481" t="str">
        <f t="shared" ref="G497:N497" si="289">+G300</f>
        <v/>
      </c>
      <c r="H497" s="2481" t="str">
        <f t="shared" si="289"/>
        <v/>
      </c>
      <c r="I497" s="2481" t="str">
        <f t="shared" si="289"/>
        <v/>
      </c>
      <c r="J497" s="2481" t="str">
        <f>+J300</f>
        <v/>
      </c>
      <c r="K497" s="2481" t="str">
        <f>+K300</f>
        <v/>
      </c>
      <c r="L497" s="2481" t="str">
        <f t="shared" si="289"/>
        <v/>
      </c>
      <c r="M497" s="2481" t="str">
        <f t="shared" si="289"/>
        <v/>
      </c>
      <c r="N497" s="2481" t="str">
        <f t="shared" si="289"/>
        <v/>
      </c>
    </row>
    <row r="498" spans="1:14" ht="13.5" customHeight="1">
      <c r="A498" s="2847"/>
      <c r="B498" s="2849" t="s">
        <v>2700</v>
      </c>
      <c r="C498" s="2467" t="s">
        <v>2705</v>
      </c>
      <c r="D498" s="2042"/>
      <c r="E498" s="2468"/>
      <c r="F498" s="1990" t="s">
        <v>2817</v>
      </c>
      <c r="G498" s="2442" t="e">
        <f>IF($F391&lt;=5000000,ROUND(356.2*((5000)^-0.4085)*(G497^0.5766),2),ROUND(356.2*(($F391/1000)^-0.4085)*(G497^0.5766),2))</f>
        <v>#VALUE!</v>
      </c>
      <c r="H498" s="2442" t="e">
        <f t="shared" ref="H498:N498" si="290">IF($F391&lt;=5000000,ROUND(356.2*((5000)^-0.4085)*(H497^0.5766),2),ROUND(356.2*(($F391/1000)^-0.4085)*(H497^0.5766),2))</f>
        <v>#VALUE!</v>
      </c>
      <c r="I498" s="2442" t="e">
        <f t="shared" si="290"/>
        <v>#VALUE!</v>
      </c>
      <c r="J498" s="2442" t="e">
        <f t="shared" si="290"/>
        <v>#VALUE!</v>
      </c>
      <c r="K498" s="2442" t="e">
        <f t="shared" si="290"/>
        <v>#VALUE!</v>
      </c>
      <c r="L498" s="2442" t="e">
        <f t="shared" si="290"/>
        <v>#VALUE!</v>
      </c>
      <c r="M498" s="2442" t="e">
        <f t="shared" si="290"/>
        <v>#VALUE!</v>
      </c>
      <c r="N498" s="2442" t="e">
        <f t="shared" si="290"/>
        <v>#VALUE!</v>
      </c>
    </row>
    <row r="499" spans="1:14" ht="13.5" customHeight="1">
      <c r="A499" s="2848"/>
      <c r="B499" s="2850"/>
      <c r="C499" s="2858" t="s">
        <v>2710</v>
      </c>
      <c r="D499" s="2051"/>
      <c r="E499" s="2469"/>
      <c r="F499" s="1990" t="s">
        <v>2695</v>
      </c>
      <c r="G499" s="2483">
        <f>IF($F391&lt;=5000000,ROUND(26.86,2),0)</f>
        <v>26.86</v>
      </c>
      <c r="H499" s="2483">
        <f t="shared" ref="H499:N499" si="291">IF($F391&lt;=5000000,ROUND(26.86,2),0)</f>
        <v>26.86</v>
      </c>
      <c r="I499" s="2483">
        <f t="shared" si="291"/>
        <v>26.86</v>
      </c>
      <c r="J499" s="2483">
        <f t="shared" si="291"/>
        <v>26.86</v>
      </c>
      <c r="K499" s="2483">
        <f t="shared" si="291"/>
        <v>26.86</v>
      </c>
      <c r="L499" s="2483">
        <f t="shared" si="291"/>
        <v>26.86</v>
      </c>
      <c r="M499" s="2483">
        <f t="shared" si="291"/>
        <v>26.86</v>
      </c>
      <c r="N499" s="2483">
        <f t="shared" si="291"/>
        <v>26.86</v>
      </c>
    </row>
    <row r="500" spans="1:14" ht="13.5" customHeight="1">
      <c r="A500" s="2848"/>
      <c r="B500" s="2850"/>
      <c r="C500" s="2859"/>
      <c r="D500" s="2472"/>
      <c r="E500" s="2473"/>
      <c r="F500" s="1990" t="s">
        <v>2696</v>
      </c>
      <c r="G500" s="2483">
        <f>IF($F391&lt;=5000000,ROUND(12.7,2),0)</f>
        <v>12.7</v>
      </c>
      <c r="H500" s="2483">
        <f t="shared" ref="H500:N500" si="292">IF($F391&lt;=5000000,ROUND(12.7,2),0)</f>
        <v>12.7</v>
      </c>
      <c r="I500" s="2483">
        <f t="shared" si="292"/>
        <v>12.7</v>
      </c>
      <c r="J500" s="2483">
        <f t="shared" si="292"/>
        <v>12.7</v>
      </c>
      <c r="K500" s="2483">
        <f t="shared" si="292"/>
        <v>12.7</v>
      </c>
      <c r="L500" s="2483">
        <f t="shared" si="292"/>
        <v>12.7</v>
      </c>
      <c r="M500" s="2483">
        <f t="shared" si="292"/>
        <v>12.7</v>
      </c>
      <c r="N500" s="2483">
        <f t="shared" si="292"/>
        <v>12.7</v>
      </c>
    </row>
    <row r="501" spans="1:14" ht="13.5" customHeight="1">
      <c r="A501" s="2848"/>
      <c r="B501" s="2850"/>
      <c r="C501" s="2858" t="s">
        <v>2711</v>
      </c>
      <c r="D501" s="2051"/>
      <c r="E501" s="2469"/>
      <c r="F501" s="1990" t="s">
        <v>2695</v>
      </c>
      <c r="G501" s="2485">
        <f>IF($F391&gt;5000000,ROUND(184.58*($F391/1000)^-0.2263,2),0)</f>
        <v>0</v>
      </c>
      <c r="H501" s="2485">
        <f t="shared" ref="H501:N501" si="293">IF($F391&gt;5000000,ROUND(184.58*($F391/1000)^-0.2263,2),0)</f>
        <v>0</v>
      </c>
      <c r="I501" s="2485">
        <f t="shared" si="293"/>
        <v>0</v>
      </c>
      <c r="J501" s="2485">
        <f t="shared" si="293"/>
        <v>0</v>
      </c>
      <c r="K501" s="2485">
        <f t="shared" si="293"/>
        <v>0</v>
      </c>
      <c r="L501" s="2485">
        <f t="shared" si="293"/>
        <v>0</v>
      </c>
      <c r="M501" s="2485">
        <f t="shared" si="293"/>
        <v>0</v>
      </c>
      <c r="N501" s="2485">
        <f t="shared" si="293"/>
        <v>0</v>
      </c>
    </row>
    <row r="502" spans="1:14" ht="13.5" customHeight="1">
      <c r="A502" s="2856"/>
      <c r="B502" s="2857"/>
      <c r="C502" s="2859"/>
      <c r="D502" s="2472"/>
      <c r="E502" s="2473"/>
      <c r="F502" s="1990" t="s">
        <v>2696</v>
      </c>
      <c r="G502" s="2485">
        <f>IF($F391&gt;5000000,ROUND(87.29*($F391/1000)^-0.2263,2),0)</f>
        <v>0</v>
      </c>
      <c r="H502" s="2485">
        <f t="shared" ref="H502:N502" si="294">IF($F391&gt;5000000,ROUND(87.29*($F391/1000)^-0.2263,2),0)</f>
        <v>0</v>
      </c>
      <c r="I502" s="2485">
        <f t="shared" si="294"/>
        <v>0</v>
      </c>
      <c r="J502" s="2485">
        <f t="shared" si="294"/>
        <v>0</v>
      </c>
      <c r="K502" s="2485">
        <f t="shared" si="294"/>
        <v>0</v>
      </c>
      <c r="L502" s="2485">
        <f t="shared" si="294"/>
        <v>0</v>
      </c>
      <c r="M502" s="2485">
        <f t="shared" si="294"/>
        <v>0</v>
      </c>
      <c r="N502" s="2485">
        <f t="shared" si="294"/>
        <v>0</v>
      </c>
    </row>
    <row r="503" spans="1:14" ht="13.5" customHeight="1" thickBot="1">
      <c r="A503" s="2853" t="s">
        <v>2709</v>
      </c>
      <c r="B503" s="2854"/>
      <c r="C503" s="2854"/>
      <c r="D503" s="2854"/>
      <c r="E503" s="2492"/>
      <c r="F503" s="2488"/>
      <c r="G503" s="2493" t="e">
        <f>IF($F391&lt;=5000000,IF(G498&gt;G499,G499,IF(G498&lt;G500,G500,G498)),IF(G498&gt;G501,G501,IF(G498&lt;G502,G502,G498)))</f>
        <v>#VALUE!</v>
      </c>
      <c r="H503" s="2493" t="e">
        <f t="shared" ref="H503:N503" si="295">IF($F391&lt;=5000000,IF(H498&gt;H499,H499,IF(H498&lt;H500,H500,H498)),IF(H498&gt;H501,H501,IF(H498&lt;H502,H502,H498)))</f>
        <v>#VALUE!</v>
      </c>
      <c r="I503" s="2493" t="e">
        <f t="shared" si="295"/>
        <v>#VALUE!</v>
      </c>
      <c r="J503" s="2493" t="e">
        <f t="shared" si="295"/>
        <v>#VALUE!</v>
      </c>
      <c r="K503" s="2493" t="e">
        <f t="shared" si="295"/>
        <v>#VALUE!</v>
      </c>
      <c r="L503" s="2493" t="e">
        <f t="shared" si="295"/>
        <v>#VALUE!</v>
      </c>
      <c r="M503" s="2493" t="e">
        <f t="shared" si="295"/>
        <v>#VALUE!</v>
      </c>
      <c r="N503" s="2493" t="e">
        <f t="shared" si="295"/>
        <v>#VALUE!</v>
      </c>
    </row>
    <row r="504" spans="1:14" ht="13.5" customHeight="1" thickBot="1">
      <c r="A504" s="1771"/>
      <c r="B504" s="1771"/>
      <c r="C504" s="1771"/>
      <c r="D504" s="1771"/>
      <c r="E504" s="1771"/>
      <c r="F504" s="1771"/>
      <c r="G504" s="2495"/>
      <c r="H504" s="2495"/>
      <c r="I504" s="2495"/>
      <c r="J504" s="2495"/>
      <c r="K504" s="2495"/>
      <c r="L504" s="2495"/>
      <c r="M504" s="2495"/>
      <c r="N504" s="2495"/>
    </row>
    <row r="505" spans="1:14" ht="13.5" customHeight="1">
      <c r="A505" s="2462"/>
      <c r="B505" s="2463"/>
      <c r="C505" s="2464" t="s">
        <v>2712</v>
      </c>
      <c r="D505" s="2465"/>
      <c r="E505" s="2463"/>
      <c r="F505" s="2466"/>
      <c r="G505" s="2496"/>
      <c r="H505" s="2497"/>
      <c r="I505" s="2497"/>
      <c r="J505" s="2497"/>
      <c r="K505" s="2497"/>
      <c r="L505" s="2497"/>
      <c r="M505" s="2497"/>
      <c r="N505" s="2497"/>
    </row>
    <row r="506" spans="1:14" ht="13.5" customHeight="1">
      <c r="A506" s="2847"/>
      <c r="B506" s="2849" t="s">
        <v>79</v>
      </c>
      <c r="C506" s="2467" t="s">
        <v>2713</v>
      </c>
      <c r="D506" s="2042"/>
      <c r="E506" s="2468"/>
      <c r="F506" s="1990" t="s">
        <v>2818</v>
      </c>
      <c r="G506" s="2498" t="e">
        <f>ROUND(15.065-1.028*LOG($F438/1000),2)</f>
        <v>#NUM!</v>
      </c>
      <c r="H506" s="2499"/>
      <c r="I506" s="2499"/>
      <c r="J506" s="2499"/>
      <c r="K506" s="2499"/>
      <c r="L506" s="2499"/>
      <c r="M506" s="2499"/>
      <c r="N506" s="2499"/>
    </row>
    <row r="507" spans="1:14" ht="13.5" customHeight="1">
      <c r="A507" s="2848"/>
      <c r="B507" s="2850"/>
      <c r="C507" s="2500" t="s">
        <v>2715</v>
      </c>
      <c r="D507" s="2051"/>
      <c r="E507" s="2051"/>
      <c r="F507" s="2501"/>
      <c r="G507" s="2502">
        <f>IF($F438&lt;=5000000,11.26,0)</f>
        <v>11.26</v>
      </c>
      <c r="H507" s="2503"/>
      <c r="I507" s="2503"/>
      <c r="J507" s="2503"/>
      <c r="K507" s="2503"/>
      <c r="L507" s="2503"/>
      <c r="M507" s="2503"/>
      <c r="N507" s="2503"/>
    </row>
    <row r="508" spans="1:14" ht="13.5" customHeight="1">
      <c r="A508" s="2848"/>
      <c r="B508" s="2850"/>
      <c r="C508" s="2500" t="s">
        <v>2716</v>
      </c>
      <c r="D508" s="2051"/>
      <c r="E508" s="2042"/>
      <c r="F508" s="2501"/>
      <c r="G508" s="2502">
        <f>IF($F438&gt;3000000000,8.41,0)</f>
        <v>0</v>
      </c>
      <c r="H508" s="2505"/>
      <c r="I508" s="2505"/>
      <c r="J508" s="2505"/>
      <c r="K508" s="2505"/>
      <c r="L508" s="2505"/>
      <c r="M508" s="2505"/>
      <c r="N508" s="2505"/>
    </row>
    <row r="509" spans="1:14" ht="13.5" customHeight="1" thickBot="1">
      <c r="A509" s="2851" t="s">
        <v>2717</v>
      </c>
      <c r="B509" s="2852"/>
      <c r="C509" s="2852"/>
      <c r="D509" s="2852"/>
      <c r="E509" s="2506"/>
      <c r="F509" s="2507"/>
      <c r="G509" s="2508">
        <f>IF($F438&lt;=5000000,G507,IF($F438&gt;3000000000,G508,G506))</f>
        <v>11.26</v>
      </c>
      <c r="H509" s="2509"/>
      <c r="I509" s="2509"/>
      <c r="J509" s="2509"/>
      <c r="K509" s="2509"/>
      <c r="L509" s="2509"/>
      <c r="M509" s="2509"/>
      <c r="N509" s="2509"/>
    </row>
  </sheetData>
  <mergeCells count="164">
    <mergeCell ref="C10:F10"/>
    <mergeCell ref="A11:F11"/>
    <mergeCell ref="A12:F12"/>
    <mergeCell ref="B22:B25"/>
    <mergeCell ref="B26:B33"/>
    <mergeCell ref="B34:B36"/>
    <mergeCell ref="C2:E2"/>
    <mergeCell ref="B4:D4"/>
    <mergeCell ref="B5:D5"/>
    <mergeCell ref="B6:D6"/>
    <mergeCell ref="D8:F8"/>
    <mergeCell ref="D9:F9"/>
    <mergeCell ref="A58:A62"/>
    <mergeCell ref="B61:B62"/>
    <mergeCell ref="B63:C63"/>
    <mergeCell ref="B68:C68"/>
    <mergeCell ref="B70:C70"/>
    <mergeCell ref="B75:C75"/>
    <mergeCell ref="B37:B43"/>
    <mergeCell ref="A44:C44"/>
    <mergeCell ref="A45:A48"/>
    <mergeCell ref="B49:C49"/>
    <mergeCell ref="B54:C54"/>
    <mergeCell ref="A57:C57"/>
    <mergeCell ref="B78:B79"/>
    <mergeCell ref="B81:B82"/>
    <mergeCell ref="C91:F91"/>
    <mergeCell ref="A92:F92"/>
    <mergeCell ref="A93:F93"/>
    <mergeCell ref="A121:A142"/>
    <mergeCell ref="B121:B124"/>
    <mergeCell ref="B125:B132"/>
    <mergeCell ref="C125:E125"/>
    <mergeCell ref="B133:B135"/>
    <mergeCell ref="D158:D159"/>
    <mergeCell ref="E158:E159"/>
    <mergeCell ref="A159:C159"/>
    <mergeCell ref="A160:A171"/>
    <mergeCell ref="B160:B163"/>
    <mergeCell ref="B164:B167"/>
    <mergeCell ref="B169:B170"/>
    <mergeCell ref="B136:B142"/>
    <mergeCell ref="D145:D146"/>
    <mergeCell ref="E145:E146"/>
    <mergeCell ref="A146:C146"/>
    <mergeCell ref="A147:A157"/>
    <mergeCell ref="B148:B149"/>
    <mergeCell ref="B150:B154"/>
    <mergeCell ref="B155:B156"/>
    <mergeCell ref="F227:G227"/>
    <mergeCell ref="A228:C228"/>
    <mergeCell ref="F228:G228"/>
    <mergeCell ref="D176:D177"/>
    <mergeCell ref="E176:E177"/>
    <mergeCell ref="A177:C177"/>
    <mergeCell ref="B179:B182"/>
    <mergeCell ref="B183:B190"/>
    <mergeCell ref="B191:B193"/>
    <mergeCell ref="A229:A236"/>
    <mergeCell ref="B230:B231"/>
    <mergeCell ref="B232:B233"/>
    <mergeCell ref="B234:B236"/>
    <mergeCell ref="A238:C238"/>
    <mergeCell ref="B240:B241"/>
    <mergeCell ref="B196:B202"/>
    <mergeCell ref="B203:B210"/>
    <mergeCell ref="B211:B213"/>
    <mergeCell ref="A222:C223"/>
    <mergeCell ref="A264:F264"/>
    <mergeCell ref="A265:F265"/>
    <mergeCell ref="A268:A272"/>
    <mergeCell ref="B268:B272"/>
    <mergeCell ref="C269:C270"/>
    <mergeCell ref="C271:C272"/>
    <mergeCell ref="B242:B243"/>
    <mergeCell ref="B244:B246"/>
    <mergeCell ref="A259:A263"/>
    <mergeCell ref="B259:B263"/>
    <mergeCell ref="C260:C261"/>
    <mergeCell ref="C262:C263"/>
    <mergeCell ref="A282:D282"/>
    <mergeCell ref="A285:A289"/>
    <mergeCell ref="B285:B289"/>
    <mergeCell ref="C286:C287"/>
    <mergeCell ref="C288:C289"/>
    <mergeCell ref="A290:D290"/>
    <mergeCell ref="A273:F273"/>
    <mergeCell ref="A274:F274"/>
    <mergeCell ref="A277:A281"/>
    <mergeCell ref="B277:B281"/>
    <mergeCell ref="C278:C279"/>
    <mergeCell ref="C280:C281"/>
    <mergeCell ref="A334:A355"/>
    <mergeCell ref="B334:B337"/>
    <mergeCell ref="B338:B345"/>
    <mergeCell ref="C338:E338"/>
    <mergeCell ref="B346:B348"/>
    <mergeCell ref="B349:B355"/>
    <mergeCell ref="A293:A295"/>
    <mergeCell ref="B293:B295"/>
    <mergeCell ref="A296:D296"/>
    <mergeCell ref="C304:F304"/>
    <mergeCell ref="A305:F305"/>
    <mergeCell ref="A306:F306"/>
    <mergeCell ref="D371:D372"/>
    <mergeCell ref="E371:E372"/>
    <mergeCell ref="A372:C372"/>
    <mergeCell ref="A373:A384"/>
    <mergeCell ref="B373:B376"/>
    <mergeCell ref="B377:B380"/>
    <mergeCell ref="B382:B383"/>
    <mergeCell ref="D358:D359"/>
    <mergeCell ref="E358:E359"/>
    <mergeCell ref="A359:C359"/>
    <mergeCell ref="A360:A370"/>
    <mergeCell ref="B361:B362"/>
    <mergeCell ref="B363:B367"/>
    <mergeCell ref="B368:B369"/>
    <mergeCell ref="B409:B415"/>
    <mergeCell ref="B416:B423"/>
    <mergeCell ref="B424:B426"/>
    <mergeCell ref="A435:C436"/>
    <mergeCell ref="F440:G440"/>
    <mergeCell ref="A441:C441"/>
    <mergeCell ref="F441:G441"/>
    <mergeCell ref="D389:D390"/>
    <mergeCell ref="E389:E390"/>
    <mergeCell ref="A390:C390"/>
    <mergeCell ref="B392:B395"/>
    <mergeCell ref="B396:B403"/>
    <mergeCell ref="B404:B406"/>
    <mergeCell ref="B455:B456"/>
    <mergeCell ref="B457:B459"/>
    <mergeCell ref="A472:A476"/>
    <mergeCell ref="B472:B476"/>
    <mergeCell ref="C473:C474"/>
    <mergeCell ref="C475:C476"/>
    <mergeCell ref="A442:A449"/>
    <mergeCell ref="B443:B444"/>
    <mergeCell ref="B445:B446"/>
    <mergeCell ref="B447:B449"/>
    <mergeCell ref="A451:C451"/>
    <mergeCell ref="B453:B454"/>
    <mergeCell ref="A486:F486"/>
    <mergeCell ref="A487:F487"/>
    <mergeCell ref="A490:A494"/>
    <mergeCell ref="B490:B494"/>
    <mergeCell ref="C491:C492"/>
    <mergeCell ref="C493:C494"/>
    <mergeCell ref="A477:F477"/>
    <mergeCell ref="A478:F478"/>
    <mergeCell ref="A481:A485"/>
    <mergeCell ref="B481:B485"/>
    <mergeCell ref="C482:C483"/>
    <mergeCell ref="C484:C485"/>
    <mergeCell ref="A506:A508"/>
    <mergeCell ref="B506:B508"/>
    <mergeCell ref="A509:D509"/>
    <mergeCell ref="A495:D495"/>
    <mergeCell ref="A498:A502"/>
    <mergeCell ref="B498:B502"/>
    <mergeCell ref="C499:C500"/>
    <mergeCell ref="C501:C502"/>
    <mergeCell ref="A503:D503"/>
  </mergeCells>
  <phoneticPr fontId="2"/>
  <conditionalFormatting sqref="F90">
    <cfRule type="expression" dxfId="1" priority="2" stopIfTrue="1">
      <formula>AND($F$117&gt;5000000,OR($E$90="無し",$E$90="なし"))</formula>
    </cfRule>
  </conditionalFormatting>
  <conditionalFormatting sqref="F303">
    <cfRule type="expression" dxfId="0" priority="1" stopIfTrue="1">
      <formula>AND($F$117&gt;5000000,OR($E$90="無し",$E$90="なし"))</formula>
    </cfRule>
  </conditionalFormatting>
  <dataValidations count="4">
    <dataValidation type="list" allowBlank="1" showInputMessage="1" showErrorMessage="1" sqref="G91:K91 JC91:JG91 SY91:TC91 ACU91:ACY91 AMQ91:AMU91 AWM91:AWQ91 BGI91:BGM91 BQE91:BQI91 CAA91:CAE91 CJW91:CKA91 CTS91:CTW91 DDO91:DDS91 DNK91:DNO91 DXG91:DXK91 EHC91:EHG91 EQY91:ERC91 FAU91:FAY91 FKQ91:FKU91 FUM91:FUQ91 GEI91:GEM91 GOE91:GOI91 GYA91:GYE91 HHW91:HIA91 HRS91:HRW91 IBO91:IBS91 ILK91:ILO91 IVG91:IVK91 JFC91:JFG91 JOY91:JPC91 JYU91:JYY91 KIQ91:KIU91 KSM91:KSQ91 LCI91:LCM91 LME91:LMI91 LWA91:LWE91 MFW91:MGA91 MPS91:MPW91 MZO91:MZS91 NJK91:NJO91 NTG91:NTK91 ODC91:ODG91 OMY91:ONC91 OWU91:OWY91 PGQ91:PGU91 PQM91:PQQ91 QAI91:QAM91 QKE91:QKI91 QUA91:QUE91 RDW91:REA91 RNS91:RNW91 RXO91:RXS91 SHK91:SHO91 SRG91:SRK91 TBC91:TBG91 TKY91:TLC91 TUU91:TUY91 UEQ91:UEU91 UOM91:UOQ91 UYI91:UYM91 VIE91:VII91 VSA91:VSE91 WBW91:WCA91 WLS91:WLW91 WVO91:WVS91 G65627:K65627 JC65627:JG65627 SY65627:TC65627 ACU65627:ACY65627 AMQ65627:AMU65627 AWM65627:AWQ65627 BGI65627:BGM65627 BQE65627:BQI65627 CAA65627:CAE65627 CJW65627:CKA65627 CTS65627:CTW65627 DDO65627:DDS65627 DNK65627:DNO65627 DXG65627:DXK65627 EHC65627:EHG65627 EQY65627:ERC65627 FAU65627:FAY65627 FKQ65627:FKU65627 FUM65627:FUQ65627 GEI65627:GEM65627 GOE65627:GOI65627 GYA65627:GYE65627 HHW65627:HIA65627 HRS65627:HRW65627 IBO65627:IBS65627 ILK65627:ILO65627 IVG65627:IVK65627 JFC65627:JFG65627 JOY65627:JPC65627 JYU65627:JYY65627 KIQ65627:KIU65627 KSM65627:KSQ65627 LCI65627:LCM65627 LME65627:LMI65627 LWA65627:LWE65627 MFW65627:MGA65627 MPS65627:MPW65627 MZO65627:MZS65627 NJK65627:NJO65627 NTG65627:NTK65627 ODC65627:ODG65627 OMY65627:ONC65627 OWU65627:OWY65627 PGQ65627:PGU65627 PQM65627:PQQ65627 QAI65627:QAM65627 QKE65627:QKI65627 QUA65627:QUE65627 RDW65627:REA65627 RNS65627:RNW65627 RXO65627:RXS65627 SHK65627:SHO65627 SRG65627:SRK65627 TBC65627:TBG65627 TKY65627:TLC65627 TUU65627:TUY65627 UEQ65627:UEU65627 UOM65627:UOQ65627 UYI65627:UYM65627 VIE65627:VII65627 VSA65627:VSE65627 WBW65627:WCA65627 WLS65627:WLW65627 WVO65627:WVS65627 G131163:K131163 JC131163:JG131163 SY131163:TC131163 ACU131163:ACY131163 AMQ131163:AMU131163 AWM131163:AWQ131163 BGI131163:BGM131163 BQE131163:BQI131163 CAA131163:CAE131163 CJW131163:CKA131163 CTS131163:CTW131163 DDO131163:DDS131163 DNK131163:DNO131163 DXG131163:DXK131163 EHC131163:EHG131163 EQY131163:ERC131163 FAU131163:FAY131163 FKQ131163:FKU131163 FUM131163:FUQ131163 GEI131163:GEM131163 GOE131163:GOI131163 GYA131163:GYE131163 HHW131163:HIA131163 HRS131163:HRW131163 IBO131163:IBS131163 ILK131163:ILO131163 IVG131163:IVK131163 JFC131163:JFG131163 JOY131163:JPC131163 JYU131163:JYY131163 KIQ131163:KIU131163 KSM131163:KSQ131163 LCI131163:LCM131163 LME131163:LMI131163 LWA131163:LWE131163 MFW131163:MGA131163 MPS131163:MPW131163 MZO131163:MZS131163 NJK131163:NJO131163 NTG131163:NTK131163 ODC131163:ODG131163 OMY131163:ONC131163 OWU131163:OWY131163 PGQ131163:PGU131163 PQM131163:PQQ131163 QAI131163:QAM131163 QKE131163:QKI131163 QUA131163:QUE131163 RDW131163:REA131163 RNS131163:RNW131163 RXO131163:RXS131163 SHK131163:SHO131163 SRG131163:SRK131163 TBC131163:TBG131163 TKY131163:TLC131163 TUU131163:TUY131163 UEQ131163:UEU131163 UOM131163:UOQ131163 UYI131163:UYM131163 VIE131163:VII131163 VSA131163:VSE131163 WBW131163:WCA131163 WLS131163:WLW131163 WVO131163:WVS131163 G196699:K196699 JC196699:JG196699 SY196699:TC196699 ACU196699:ACY196699 AMQ196699:AMU196699 AWM196699:AWQ196699 BGI196699:BGM196699 BQE196699:BQI196699 CAA196699:CAE196699 CJW196699:CKA196699 CTS196699:CTW196699 DDO196699:DDS196699 DNK196699:DNO196699 DXG196699:DXK196699 EHC196699:EHG196699 EQY196699:ERC196699 FAU196699:FAY196699 FKQ196699:FKU196699 FUM196699:FUQ196699 GEI196699:GEM196699 GOE196699:GOI196699 GYA196699:GYE196699 HHW196699:HIA196699 HRS196699:HRW196699 IBO196699:IBS196699 ILK196699:ILO196699 IVG196699:IVK196699 JFC196699:JFG196699 JOY196699:JPC196699 JYU196699:JYY196699 KIQ196699:KIU196699 KSM196699:KSQ196699 LCI196699:LCM196699 LME196699:LMI196699 LWA196699:LWE196699 MFW196699:MGA196699 MPS196699:MPW196699 MZO196699:MZS196699 NJK196699:NJO196699 NTG196699:NTK196699 ODC196699:ODG196699 OMY196699:ONC196699 OWU196699:OWY196699 PGQ196699:PGU196699 PQM196699:PQQ196699 QAI196699:QAM196699 QKE196699:QKI196699 QUA196699:QUE196699 RDW196699:REA196699 RNS196699:RNW196699 RXO196699:RXS196699 SHK196699:SHO196699 SRG196699:SRK196699 TBC196699:TBG196699 TKY196699:TLC196699 TUU196699:TUY196699 UEQ196699:UEU196699 UOM196699:UOQ196699 UYI196699:UYM196699 VIE196699:VII196699 VSA196699:VSE196699 WBW196699:WCA196699 WLS196699:WLW196699 WVO196699:WVS196699 G262235:K262235 JC262235:JG262235 SY262235:TC262235 ACU262235:ACY262235 AMQ262235:AMU262235 AWM262235:AWQ262235 BGI262235:BGM262235 BQE262235:BQI262235 CAA262235:CAE262235 CJW262235:CKA262235 CTS262235:CTW262235 DDO262235:DDS262235 DNK262235:DNO262235 DXG262235:DXK262235 EHC262235:EHG262235 EQY262235:ERC262235 FAU262235:FAY262235 FKQ262235:FKU262235 FUM262235:FUQ262235 GEI262235:GEM262235 GOE262235:GOI262235 GYA262235:GYE262235 HHW262235:HIA262235 HRS262235:HRW262235 IBO262235:IBS262235 ILK262235:ILO262235 IVG262235:IVK262235 JFC262235:JFG262235 JOY262235:JPC262235 JYU262235:JYY262235 KIQ262235:KIU262235 KSM262235:KSQ262235 LCI262235:LCM262235 LME262235:LMI262235 LWA262235:LWE262235 MFW262235:MGA262235 MPS262235:MPW262235 MZO262235:MZS262235 NJK262235:NJO262235 NTG262235:NTK262235 ODC262235:ODG262235 OMY262235:ONC262235 OWU262235:OWY262235 PGQ262235:PGU262235 PQM262235:PQQ262235 QAI262235:QAM262235 QKE262235:QKI262235 QUA262235:QUE262235 RDW262235:REA262235 RNS262235:RNW262235 RXO262235:RXS262235 SHK262235:SHO262235 SRG262235:SRK262235 TBC262235:TBG262235 TKY262235:TLC262235 TUU262235:TUY262235 UEQ262235:UEU262235 UOM262235:UOQ262235 UYI262235:UYM262235 VIE262235:VII262235 VSA262235:VSE262235 WBW262235:WCA262235 WLS262235:WLW262235 WVO262235:WVS262235 G327771:K327771 JC327771:JG327771 SY327771:TC327771 ACU327771:ACY327771 AMQ327771:AMU327771 AWM327771:AWQ327771 BGI327771:BGM327771 BQE327771:BQI327771 CAA327771:CAE327771 CJW327771:CKA327771 CTS327771:CTW327771 DDO327771:DDS327771 DNK327771:DNO327771 DXG327771:DXK327771 EHC327771:EHG327771 EQY327771:ERC327771 FAU327771:FAY327771 FKQ327771:FKU327771 FUM327771:FUQ327771 GEI327771:GEM327771 GOE327771:GOI327771 GYA327771:GYE327771 HHW327771:HIA327771 HRS327771:HRW327771 IBO327771:IBS327771 ILK327771:ILO327771 IVG327771:IVK327771 JFC327771:JFG327771 JOY327771:JPC327771 JYU327771:JYY327771 KIQ327771:KIU327771 KSM327771:KSQ327771 LCI327771:LCM327771 LME327771:LMI327771 LWA327771:LWE327771 MFW327771:MGA327771 MPS327771:MPW327771 MZO327771:MZS327771 NJK327771:NJO327771 NTG327771:NTK327771 ODC327771:ODG327771 OMY327771:ONC327771 OWU327771:OWY327771 PGQ327771:PGU327771 PQM327771:PQQ327771 QAI327771:QAM327771 QKE327771:QKI327771 QUA327771:QUE327771 RDW327771:REA327771 RNS327771:RNW327771 RXO327771:RXS327771 SHK327771:SHO327771 SRG327771:SRK327771 TBC327771:TBG327771 TKY327771:TLC327771 TUU327771:TUY327771 UEQ327771:UEU327771 UOM327771:UOQ327771 UYI327771:UYM327771 VIE327771:VII327771 VSA327771:VSE327771 WBW327771:WCA327771 WLS327771:WLW327771 WVO327771:WVS327771 G393307:K393307 JC393307:JG393307 SY393307:TC393307 ACU393307:ACY393307 AMQ393307:AMU393307 AWM393307:AWQ393307 BGI393307:BGM393307 BQE393307:BQI393307 CAA393307:CAE393307 CJW393307:CKA393307 CTS393307:CTW393307 DDO393307:DDS393307 DNK393307:DNO393307 DXG393307:DXK393307 EHC393307:EHG393307 EQY393307:ERC393307 FAU393307:FAY393307 FKQ393307:FKU393307 FUM393307:FUQ393307 GEI393307:GEM393307 GOE393307:GOI393307 GYA393307:GYE393307 HHW393307:HIA393307 HRS393307:HRW393307 IBO393307:IBS393307 ILK393307:ILO393307 IVG393307:IVK393307 JFC393307:JFG393307 JOY393307:JPC393307 JYU393307:JYY393307 KIQ393307:KIU393307 KSM393307:KSQ393307 LCI393307:LCM393307 LME393307:LMI393307 LWA393307:LWE393307 MFW393307:MGA393307 MPS393307:MPW393307 MZO393307:MZS393307 NJK393307:NJO393307 NTG393307:NTK393307 ODC393307:ODG393307 OMY393307:ONC393307 OWU393307:OWY393307 PGQ393307:PGU393307 PQM393307:PQQ393307 QAI393307:QAM393307 QKE393307:QKI393307 QUA393307:QUE393307 RDW393307:REA393307 RNS393307:RNW393307 RXO393307:RXS393307 SHK393307:SHO393307 SRG393307:SRK393307 TBC393307:TBG393307 TKY393307:TLC393307 TUU393307:TUY393307 UEQ393307:UEU393307 UOM393307:UOQ393307 UYI393307:UYM393307 VIE393307:VII393307 VSA393307:VSE393307 WBW393307:WCA393307 WLS393307:WLW393307 WVO393307:WVS393307 G458843:K458843 JC458843:JG458843 SY458843:TC458843 ACU458843:ACY458843 AMQ458843:AMU458843 AWM458843:AWQ458843 BGI458843:BGM458843 BQE458843:BQI458843 CAA458843:CAE458843 CJW458843:CKA458843 CTS458843:CTW458843 DDO458843:DDS458843 DNK458843:DNO458843 DXG458843:DXK458843 EHC458843:EHG458843 EQY458843:ERC458843 FAU458843:FAY458843 FKQ458843:FKU458843 FUM458843:FUQ458843 GEI458843:GEM458843 GOE458843:GOI458843 GYA458843:GYE458843 HHW458843:HIA458843 HRS458843:HRW458843 IBO458843:IBS458843 ILK458843:ILO458843 IVG458843:IVK458843 JFC458843:JFG458843 JOY458843:JPC458843 JYU458843:JYY458843 KIQ458843:KIU458843 KSM458843:KSQ458843 LCI458843:LCM458843 LME458843:LMI458843 LWA458843:LWE458843 MFW458843:MGA458843 MPS458843:MPW458843 MZO458843:MZS458843 NJK458843:NJO458843 NTG458843:NTK458843 ODC458843:ODG458843 OMY458843:ONC458843 OWU458843:OWY458843 PGQ458843:PGU458843 PQM458843:PQQ458843 QAI458843:QAM458843 QKE458843:QKI458843 QUA458843:QUE458843 RDW458843:REA458843 RNS458843:RNW458843 RXO458843:RXS458843 SHK458843:SHO458843 SRG458843:SRK458843 TBC458843:TBG458843 TKY458843:TLC458843 TUU458843:TUY458843 UEQ458843:UEU458843 UOM458843:UOQ458843 UYI458843:UYM458843 VIE458843:VII458843 VSA458843:VSE458843 WBW458843:WCA458843 WLS458843:WLW458843 WVO458843:WVS458843 G524379:K524379 JC524379:JG524379 SY524379:TC524379 ACU524379:ACY524379 AMQ524379:AMU524379 AWM524379:AWQ524379 BGI524379:BGM524379 BQE524379:BQI524379 CAA524379:CAE524379 CJW524379:CKA524379 CTS524379:CTW524379 DDO524379:DDS524379 DNK524379:DNO524379 DXG524379:DXK524379 EHC524379:EHG524379 EQY524379:ERC524379 FAU524379:FAY524379 FKQ524379:FKU524379 FUM524379:FUQ524379 GEI524379:GEM524379 GOE524379:GOI524379 GYA524379:GYE524379 HHW524379:HIA524379 HRS524379:HRW524379 IBO524379:IBS524379 ILK524379:ILO524379 IVG524379:IVK524379 JFC524379:JFG524379 JOY524379:JPC524379 JYU524379:JYY524379 KIQ524379:KIU524379 KSM524379:KSQ524379 LCI524379:LCM524379 LME524379:LMI524379 LWA524379:LWE524379 MFW524379:MGA524379 MPS524379:MPW524379 MZO524379:MZS524379 NJK524379:NJO524379 NTG524379:NTK524379 ODC524379:ODG524379 OMY524379:ONC524379 OWU524379:OWY524379 PGQ524379:PGU524379 PQM524379:PQQ524379 QAI524379:QAM524379 QKE524379:QKI524379 QUA524379:QUE524379 RDW524379:REA524379 RNS524379:RNW524379 RXO524379:RXS524379 SHK524379:SHO524379 SRG524379:SRK524379 TBC524379:TBG524379 TKY524379:TLC524379 TUU524379:TUY524379 UEQ524379:UEU524379 UOM524379:UOQ524379 UYI524379:UYM524379 VIE524379:VII524379 VSA524379:VSE524379 WBW524379:WCA524379 WLS524379:WLW524379 WVO524379:WVS524379 G589915:K589915 JC589915:JG589915 SY589915:TC589915 ACU589915:ACY589915 AMQ589915:AMU589915 AWM589915:AWQ589915 BGI589915:BGM589915 BQE589915:BQI589915 CAA589915:CAE589915 CJW589915:CKA589915 CTS589915:CTW589915 DDO589915:DDS589915 DNK589915:DNO589915 DXG589915:DXK589915 EHC589915:EHG589915 EQY589915:ERC589915 FAU589915:FAY589915 FKQ589915:FKU589915 FUM589915:FUQ589915 GEI589915:GEM589915 GOE589915:GOI589915 GYA589915:GYE589915 HHW589915:HIA589915 HRS589915:HRW589915 IBO589915:IBS589915 ILK589915:ILO589915 IVG589915:IVK589915 JFC589915:JFG589915 JOY589915:JPC589915 JYU589915:JYY589915 KIQ589915:KIU589915 KSM589915:KSQ589915 LCI589915:LCM589915 LME589915:LMI589915 LWA589915:LWE589915 MFW589915:MGA589915 MPS589915:MPW589915 MZO589915:MZS589915 NJK589915:NJO589915 NTG589915:NTK589915 ODC589915:ODG589915 OMY589915:ONC589915 OWU589915:OWY589915 PGQ589915:PGU589915 PQM589915:PQQ589915 QAI589915:QAM589915 QKE589915:QKI589915 QUA589915:QUE589915 RDW589915:REA589915 RNS589915:RNW589915 RXO589915:RXS589915 SHK589915:SHO589915 SRG589915:SRK589915 TBC589915:TBG589915 TKY589915:TLC589915 TUU589915:TUY589915 UEQ589915:UEU589915 UOM589915:UOQ589915 UYI589915:UYM589915 VIE589915:VII589915 VSA589915:VSE589915 WBW589915:WCA589915 WLS589915:WLW589915 WVO589915:WVS589915 G655451:K655451 JC655451:JG655451 SY655451:TC655451 ACU655451:ACY655451 AMQ655451:AMU655451 AWM655451:AWQ655451 BGI655451:BGM655451 BQE655451:BQI655451 CAA655451:CAE655451 CJW655451:CKA655451 CTS655451:CTW655451 DDO655451:DDS655451 DNK655451:DNO655451 DXG655451:DXK655451 EHC655451:EHG655451 EQY655451:ERC655451 FAU655451:FAY655451 FKQ655451:FKU655451 FUM655451:FUQ655451 GEI655451:GEM655451 GOE655451:GOI655451 GYA655451:GYE655451 HHW655451:HIA655451 HRS655451:HRW655451 IBO655451:IBS655451 ILK655451:ILO655451 IVG655451:IVK655451 JFC655451:JFG655451 JOY655451:JPC655451 JYU655451:JYY655451 KIQ655451:KIU655451 KSM655451:KSQ655451 LCI655451:LCM655451 LME655451:LMI655451 LWA655451:LWE655451 MFW655451:MGA655451 MPS655451:MPW655451 MZO655451:MZS655451 NJK655451:NJO655451 NTG655451:NTK655451 ODC655451:ODG655451 OMY655451:ONC655451 OWU655451:OWY655451 PGQ655451:PGU655451 PQM655451:PQQ655451 QAI655451:QAM655451 QKE655451:QKI655451 QUA655451:QUE655451 RDW655451:REA655451 RNS655451:RNW655451 RXO655451:RXS655451 SHK655451:SHO655451 SRG655451:SRK655451 TBC655451:TBG655451 TKY655451:TLC655451 TUU655451:TUY655451 UEQ655451:UEU655451 UOM655451:UOQ655451 UYI655451:UYM655451 VIE655451:VII655451 VSA655451:VSE655451 WBW655451:WCA655451 WLS655451:WLW655451 WVO655451:WVS655451 G720987:K720987 JC720987:JG720987 SY720987:TC720987 ACU720987:ACY720987 AMQ720987:AMU720987 AWM720987:AWQ720987 BGI720987:BGM720987 BQE720987:BQI720987 CAA720987:CAE720987 CJW720987:CKA720987 CTS720987:CTW720987 DDO720987:DDS720987 DNK720987:DNO720987 DXG720987:DXK720987 EHC720987:EHG720987 EQY720987:ERC720987 FAU720987:FAY720987 FKQ720987:FKU720987 FUM720987:FUQ720987 GEI720987:GEM720987 GOE720987:GOI720987 GYA720987:GYE720987 HHW720987:HIA720987 HRS720987:HRW720987 IBO720987:IBS720987 ILK720987:ILO720987 IVG720987:IVK720987 JFC720987:JFG720987 JOY720987:JPC720987 JYU720987:JYY720987 KIQ720987:KIU720987 KSM720987:KSQ720987 LCI720987:LCM720987 LME720987:LMI720987 LWA720987:LWE720987 MFW720987:MGA720987 MPS720987:MPW720987 MZO720987:MZS720987 NJK720987:NJO720987 NTG720987:NTK720987 ODC720987:ODG720987 OMY720987:ONC720987 OWU720987:OWY720987 PGQ720987:PGU720987 PQM720987:PQQ720987 QAI720987:QAM720987 QKE720987:QKI720987 QUA720987:QUE720987 RDW720987:REA720987 RNS720987:RNW720987 RXO720987:RXS720987 SHK720987:SHO720987 SRG720987:SRK720987 TBC720987:TBG720987 TKY720987:TLC720987 TUU720987:TUY720987 UEQ720987:UEU720987 UOM720987:UOQ720987 UYI720987:UYM720987 VIE720987:VII720987 VSA720987:VSE720987 WBW720987:WCA720987 WLS720987:WLW720987 WVO720987:WVS720987 G786523:K786523 JC786523:JG786523 SY786523:TC786523 ACU786523:ACY786523 AMQ786523:AMU786523 AWM786523:AWQ786523 BGI786523:BGM786523 BQE786523:BQI786523 CAA786523:CAE786523 CJW786523:CKA786523 CTS786523:CTW786523 DDO786523:DDS786523 DNK786523:DNO786523 DXG786523:DXK786523 EHC786523:EHG786523 EQY786523:ERC786523 FAU786523:FAY786523 FKQ786523:FKU786523 FUM786523:FUQ786523 GEI786523:GEM786523 GOE786523:GOI786523 GYA786523:GYE786523 HHW786523:HIA786523 HRS786523:HRW786523 IBO786523:IBS786523 ILK786523:ILO786523 IVG786523:IVK786523 JFC786523:JFG786523 JOY786523:JPC786523 JYU786523:JYY786523 KIQ786523:KIU786523 KSM786523:KSQ786523 LCI786523:LCM786523 LME786523:LMI786523 LWA786523:LWE786523 MFW786523:MGA786523 MPS786523:MPW786523 MZO786523:MZS786523 NJK786523:NJO786523 NTG786523:NTK786523 ODC786523:ODG786523 OMY786523:ONC786523 OWU786523:OWY786523 PGQ786523:PGU786523 PQM786523:PQQ786523 QAI786523:QAM786523 QKE786523:QKI786523 QUA786523:QUE786523 RDW786523:REA786523 RNS786523:RNW786523 RXO786523:RXS786523 SHK786523:SHO786523 SRG786523:SRK786523 TBC786523:TBG786523 TKY786523:TLC786523 TUU786523:TUY786523 UEQ786523:UEU786523 UOM786523:UOQ786523 UYI786523:UYM786523 VIE786523:VII786523 VSA786523:VSE786523 WBW786523:WCA786523 WLS786523:WLW786523 WVO786523:WVS786523 G852059:K852059 JC852059:JG852059 SY852059:TC852059 ACU852059:ACY852059 AMQ852059:AMU852059 AWM852059:AWQ852059 BGI852059:BGM852059 BQE852059:BQI852059 CAA852059:CAE852059 CJW852059:CKA852059 CTS852059:CTW852059 DDO852059:DDS852059 DNK852059:DNO852059 DXG852059:DXK852059 EHC852059:EHG852059 EQY852059:ERC852059 FAU852059:FAY852059 FKQ852059:FKU852059 FUM852059:FUQ852059 GEI852059:GEM852059 GOE852059:GOI852059 GYA852059:GYE852059 HHW852059:HIA852059 HRS852059:HRW852059 IBO852059:IBS852059 ILK852059:ILO852059 IVG852059:IVK852059 JFC852059:JFG852059 JOY852059:JPC852059 JYU852059:JYY852059 KIQ852059:KIU852059 KSM852059:KSQ852059 LCI852059:LCM852059 LME852059:LMI852059 LWA852059:LWE852059 MFW852059:MGA852059 MPS852059:MPW852059 MZO852059:MZS852059 NJK852059:NJO852059 NTG852059:NTK852059 ODC852059:ODG852059 OMY852059:ONC852059 OWU852059:OWY852059 PGQ852059:PGU852059 PQM852059:PQQ852059 QAI852059:QAM852059 QKE852059:QKI852059 QUA852059:QUE852059 RDW852059:REA852059 RNS852059:RNW852059 RXO852059:RXS852059 SHK852059:SHO852059 SRG852059:SRK852059 TBC852059:TBG852059 TKY852059:TLC852059 TUU852059:TUY852059 UEQ852059:UEU852059 UOM852059:UOQ852059 UYI852059:UYM852059 VIE852059:VII852059 VSA852059:VSE852059 WBW852059:WCA852059 WLS852059:WLW852059 WVO852059:WVS852059 G917595:K917595 JC917595:JG917595 SY917595:TC917595 ACU917595:ACY917595 AMQ917595:AMU917595 AWM917595:AWQ917595 BGI917595:BGM917595 BQE917595:BQI917595 CAA917595:CAE917595 CJW917595:CKA917595 CTS917595:CTW917595 DDO917595:DDS917595 DNK917595:DNO917595 DXG917595:DXK917595 EHC917595:EHG917595 EQY917595:ERC917595 FAU917595:FAY917595 FKQ917595:FKU917595 FUM917595:FUQ917595 GEI917595:GEM917595 GOE917595:GOI917595 GYA917595:GYE917595 HHW917595:HIA917595 HRS917595:HRW917595 IBO917595:IBS917595 ILK917595:ILO917595 IVG917595:IVK917595 JFC917595:JFG917595 JOY917595:JPC917595 JYU917595:JYY917595 KIQ917595:KIU917595 KSM917595:KSQ917595 LCI917595:LCM917595 LME917595:LMI917595 LWA917595:LWE917595 MFW917595:MGA917595 MPS917595:MPW917595 MZO917595:MZS917595 NJK917595:NJO917595 NTG917595:NTK917595 ODC917595:ODG917595 OMY917595:ONC917595 OWU917595:OWY917595 PGQ917595:PGU917595 PQM917595:PQQ917595 QAI917595:QAM917595 QKE917595:QKI917595 QUA917595:QUE917595 RDW917595:REA917595 RNS917595:RNW917595 RXO917595:RXS917595 SHK917595:SHO917595 SRG917595:SRK917595 TBC917595:TBG917595 TKY917595:TLC917595 TUU917595:TUY917595 UEQ917595:UEU917595 UOM917595:UOQ917595 UYI917595:UYM917595 VIE917595:VII917595 VSA917595:VSE917595 WBW917595:WCA917595 WLS917595:WLW917595 WVO917595:WVS917595 G983131:K983131 JC983131:JG983131 SY983131:TC983131 ACU983131:ACY983131 AMQ983131:AMU983131 AWM983131:AWQ983131 BGI983131:BGM983131 BQE983131:BQI983131 CAA983131:CAE983131 CJW983131:CKA983131 CTS983131:CTW983131 DDO983131:DDS983131 DNK983131:DNO983131 DXG983131:DXK983131 EHC983131:EHG983131 EQY983131:ERC983131 FAU983131:FAY983131 FKQ983131:FKU983131 FUM983131:FUQ983131 GEI983131:GEM983131 GOE983131:GOI983131 GYA983131:GYE983131 HHW983131:HIA983131 HRS983131:HRW983131 IBO983131:IBS983131 ILK983131:ILO983131 IVG983131:IVK983131 JFC983131:JFG983131 JOY983131:JPC983131 JYU983131:JYY983131 KIQ983131:KIU983131 KSM983131:KSQ983131 LCI983131:LCM983131 LME983131:LMI983131 LWA983131:LWE983131 MFW983131:MGA983131 MPS983131:MPW983131 MZO983131:MZS983131 NJK983131:NJO983131 NTG983131:NTK983131 ODC983131:ODG983131 OMY983131:ONC983131 OWU983131:OWY983131 PGQ983131:PGU983131 PQM983131:PQQ983131 QAI983131:QAM983131 QKE983131:QKI983131 QUA983131:QUE983131 RDW983131:REA983131 RNS983131:RNW983131 RXO983131:RXS983131 SHK983131:SHO983131 SRG983131:SRK983131 TBC983131:TBG983131 TKY983131:TLC983131 TUU983131:TUY983131 UEQ983131:UEU983131 UOM983131:UOQ983131 UYI983131:UYM983131 VIE983131:VII983131 VSA983131:VSE983131 WBW983131:WCA983131 WLS983131:WLW983131 WVO983131:WVS983131" xr:uid="{00000000-0002-0000-0F00-000000000000}">
      <formula1>"積上げ,積上げ・率処理併用"</formula1>
    </dataValidation>
    <dataValidation type="list" allowBlank="1" showInputMessage="1" showErrorMessage="1" sqref="G88:N88 JC88:JJ88 SY88:TF88 ACU88:ADB88 AMQ88:AMX88 AWM88:AWT88 BGI88:BGP88 BQE88:BQL88 CAA88:CAH88 CJW88:CKD88 CTS88:CTZ88 DDO88:DDV88 DNK88:DNR88 DXG88:DXN88 EHC88:EHJ88 EQY88:ERF88 FAU88:FBB88 FKQ88:FKX88 FUM88:FUT88 GEI88:GEP88 GOE88:GOL88 GYA88:GYH88 HHW88:HID88 HRS88:HRZ88 IBO88:IBV88 ILK88:ILR88 IVG88:IVN88 JFC88:JFJ88 JOY88:JPF88 JYU88:JZB88 KIQ88:KIX88 KSM88:KST88 LCI88:LCP88 LME88:LML88 LWA88:LWH88 MFW88:MGD88 MPS88:MPZ88 MZO88:MZV88 NJK88:NJR88 NTG88:NTN88 ODC88:ODJ88 OMY88:ONF88 OWU88:OXB88 PGQ88:PGX88 PQM88:PQT88 QAI88:QAP88 QKE88:QKL88 QUA88:QUH88 RDW88:RED88 RNS88:RNZ88 RXO88:RXV88 SHK88:SHR88 SRG88:SRN88 TBC88:TBJ88 TKY88:TLF88 TUU88:TVB88 UEQ88:UEX88 UOM88:UOT88 UYI88:UYP88 VIE88:VIL88 VSA88:VSH88 WBW88:WCD88 WLS88:WLZ88 WVO88:WVV88 G65624:N65624 JC65624:JJ65624 SY65624:TF65624 ACU65624:ADB65624 AMQ65624:AMX65624 AWM65624:AWT65624 BGI65624:BGP65624 BQE65624:BQL65624 CAA65624:CAH65624 CJW65624:CKD65624 CTS65624:CTZ65624 DDO65624:DDV65624 DNK65624:DNR65624 DXG65624:DXN65624 EHC65624:EHJ65624 EQY65624:ERF65624 FAU65624:FBB65624 FKQ65624:FKX65624 FUM65624:FUT65624 GEI65624:GEP65624 GOE65624:GOL65624 GYA65624:GYH65624 HHW65624:HID65624 HRS65624:HRZ65624 IBO65624:IBV65624 ILK65624:ILR65624 IVG65624:IVN65624 JFC65624:JFJ65624 JOY65624:JPF65624 JYU65624:JZB65624 KIQ65624:KIX65624 KSM65624:KST65624 LCI65624:LCP65624 LME65624:LML65624 LWA65624:LWH65624 MFW65624:MGD65624 MPS65624:MPZ65624 MZO65624:MZV65624 NJK65624:NJR65624 NTG65624:NTN65624 ODC65624:ODJ65624 OMY65624:ONF65624 OWU65624:OXB65624 PGQ65624:PGX65624 PQM65624:PQT65624 QAI65624:QAP65624 QKE65624:QKL65624 QUA65624:QUH65624 RDW65624:RED65624 RNS65624:RNZ65624 RXO65624:RXV65624 SHK65624:SHR65624 SRG65624:SRN65624 TBC65624:TBJ65624 TKY65624:TLF65624 TUU65624:TVB65624 UEQ65624:UEX65624 UOM65624:UOT65624 UYI65624:UYP65624 VIE65624:VIL65624 VSA65624:VSH65624 WBW65624:WCD65624 WLS65624:WLZ65624 WVO65624:WVV65624 G131160:N131160 JC131160:JJ131160 SY131160:TF131160 ACU131160:ADB131160 AMQ131160:AMX131160 AWM131160:AWT131160 BGI131160:BGP131160 BQE131160:BQL131160 CAA131160:CAH131160 CJW131160:CKD131160 CTS131160:CTZ131160 DDO131160:DDV131160 DNK131160:DNR131160 DXG131160:DXN131160 EHC131160:EHJ131160 EQY131160:ERF131160 FAU131160:FBB131160 FKQ131160:FKX131160 FUM131160:FUT131160 GEI131160:GEP131160 GOE131160:GOL131160 GYA131160:GYH131160 HHW131160:HID131160 HRS131160:HRZ131160 IBO131160:IBV131160 ILK131160:ILR131160 IVG131160:IVN131160 JFC131160:JFJ131160 JOY131160:JPF131160 JYU131160:JZB131160 KIQ131160:KIX131160 KSM131160:KST131160 LCI131160:LCP131160 LME131160:LML131160 LWA131160:LWH131160 MFW131160:MGD131160 MPS131160:MPZ131160 MZO131160:MZV131160 NJK131160:NJR131160 NTG131160:NTN131160 ODC131160:ODJ131160 OMY131160:ONF131160 OWU131160:OXB131160 PGQ131160:PGX131160 PQM131160:PQT131160 QAI131160:QAP131160 QKE131160:QKL131160 QUA131160:QUH131160 RDW131160:RED131160 RNS131160:RNZ131160 RXO131160:RXV131160 SHK131160:SHR131160 SRG131160:SRN131160 TBC131160:TBJ131160 TKY131160:TLF131160 TUU131160:TVB131160 UEQ131160:UEX131160 UOM131160:UOT131160 UYI131160:UYP131160 VIE131160:VIL131160 VSA131160:VSH131160 WBW131160:WCD131160 WLS131160:WLZ131160 WVO131160:WVV131160 G196696:N196696 JC196696:JJ196696 SY196696:TF196696 ACU196696:ADB196696 AMQ196696:AMX196696 AWM196696:AWT196696 BGI196696:BGP196696 BQE196696:BQL196696 CAA196696:CAH196696 CJW196696:CKD196696 CTS196696:CTZ196696 DDO196696:DDV196696 DNK196696:DNR196696 DXG196696:DXN196696 EHC196696:EHJ196696 EQY196696:ERF196696 FAU196696:FBB196696 FKQ196696:FKX196696 FUM196696:FUT196696 GEI196696:GEP196696 GOE196696:GOL196696 GYA196696:GYH196696 HHW196696:HID196696 HRS196696:HRZ196696 IBO196696:IBV196696 ILK196696:ILR196696 IVG196696:IVN196696 JFC196696:JFJ196696 JOY196696:JPF196696 JYU196696:JZB196696 KIQ196696:KIX196696 KSM196696:KST196696 LCI196696:LCP196696 LME196696:LML196696 LWA196696:LWH196696 MFW196696:MGD196696 MPS196696:MPZ196696 MZO196696:MZV196696 NJK196696:NJR196696 NTG196696:NTN196696 ODC196696:ODJ196696 OMY196696:ONF196696 OWU196696:OXB196696 PGQ196696:PGX196696 PQM196696:PQT196696 QAI196696:QAP196696 QKE196696:QKL196696 QUA196696:QUH196696 RDW196696:RED196696 RNS196696:RNZ196696 RXO196696:RXV196696 SHK196696:SHR196696 SRG196696:SRN196696 TBC196696:TBJ196696 TKY196696:TLF196696 TUU196696:TVB196696 UEQ196696:UEX196696 UOM196696:UOT196696 UYI196696:UYP196696 VIE196696:VIL196696 VSA196696:VSH196696 WBW196696:WCD196696 WLS196696:WLZ196696 WVO196696:WVV196696 G262232:N262232 JC262232:JJ262232 SY262232:TF262232 ACU262232:ADB262232 AMQ262232:AMX262232 AWM262232:AWT262232 BGI262232:BGP262232 BQE262232:BQL262232 CAA262232:CAH262232 CJW262232:CKD262232 CTS262232:CTZ262232 DDO262232:DDV262232 DNK262232:DNR262232 DXG262232:DXN262232 EHC262232:EHJ262232 EQY262232:ERF262232 FAU262232:FBB262232 FKQ262232:FKX262232 FUM262232:FUT262232 GEI262232:GEP262232 GOE262232:GOL262232 GYA262232:GYH262232 HHW262232:HID262232 HRS262232:HRZ262232 IBO262232:IBV262232 ILK262232:ILR262232 IVG262232:IVN262232 JFC262232:JFJ262232 JOY262232:JPF262232 JYU262232:JZB262232 KIQ262232:KIX262232 KSM262232:KST262232 LCI262232:LCP262232 LME262232:LML262232 LWA262232:LWH262232 MFW262232:MGD262232 MPS262232:MPZ262232 MZO262232:MZV262232 NJK262232:NJR262232 NTG262232:NTN262232 ODC262232:ODJ262232 OMY262232:ONF262232 OWU262232:OXB262232 PGQ262232:PGX262232 PQM262232:PQT262232 QAI262232:QAP262232 QKE262232:QKL262232 QUA262232:QUH262232 RDW262232:RED262232 RNS262232:RNZ262232 RXO262232:RXV262232 SHK262232:SHR262232 SRG262232:SRN262232 TBC262232:TBJ262232 TKY262232:TLF262232 TUU262232:TVB262232 UEQ262232:UEX262232 UOM262232:UOT262232 UYI262232:UYP262232 VIE262232:VIL262232 VSA262232:VSH262232 WBW262232:WCD262232 WLS262232:WLZ262232 WVO262232:WVV262232 G327768:N327768 JC327768:JJ327768 SY327768:TF327768 ACU327768:ADB327768 AMQ327768:AMX327768 AWM327768:AWT327768 BGI327768:BGP327768 BQE327768:BQL327768 CAA327768:CAH327768 CJW327768:CKD327768 CTS327768:CTZ327768 DDO327768:DDV327768 DNK327768:DNR327768 DXG327768:DXN327768 EHC327768:EHJ327768 EQY327768:ERF327768 FAU327768:FBB327768 FKQ327768:FKX327768 FUM327768:FUT327768 GEI327768:GEP327768 GOE327768:GOL327768 GYA327768:GYH327768 HHW327768:HID327768 HRS327768:HRZ327768 IBO327768:IBV327768 ILK327768:ILR327768 IVG327768:IVN327768 JFC327768:JFJ327768 JOY327768:JPF327768 JYU327768:JZB327768 KIQ327768:KIX327768 KSM327768:KST327768 LCI327768:LCP327768 LME327768:LML327768 LWA327768:LWH327768 MFW327768:MGD327768 MPS327768:MPZ327768 MZO327768:MZV327768 NJK327768:NJR327768 NTG327768:NTN327768 ODC327768:ODJ327768 OMY327768:ONF327768 OWU327768:OXB327768 PGQ327768:PGX327768 PQM327768:PQT327768 QAI327768:QAP327768 QKE327768:QKL327768 QUA327768:QUH327768 RDW327768:RED327768 RNS327768:RNZ327768 RXO327768:RXV327768 SHK327768:SHR327768 SRG327768:SRN327768 TBC327768:TBJ327768 TKY327768:TLF327768 TUU327768:TVB327768 UEQ327768:UEX327768 UOM327768:UOT327768 UYI327768:UYP327768 VIE327768:VIL327768 VSA327768:VSH327768 WBW327768:WCD327768 WLS327768:WLZ327768 WVO327768:WVV327768 G393304:N393304 JC393304:JJ393304 SY393304:TF393304 ACU393304:ADB393304 AMQ393304:AMX393304 AWM393304:AWT393304 BGI393304:BGP393304 BQE393304:BQL393304 CAA393304:CAH393304 CJW393304:CKD393304 CTS393304:CTZ393304 DDO393304:DDV393304 DNK393304:DNR393304 DXG393304:DXN393304 EHC393304:EHJ393304 EQY393304:ERF393304 FAU393304:FBB393304 FKQ393304:FKX393304 FUM393304:FUT393304 GEI393304:GEP393304 GOE393304:GOL393304 GYA393304:GYH393304 HHW393304:HID393304 HRS393304:HRZ393304 IBO393304:IBV393304 ILK393304:ILR393304 IVG393304:IVN393304 JFC393304:JFJ393304 JOY393304:JPF393304 JYU393304:JZB393304 KIQ393304:KIX393304 KSM393304:KST393304 LCI393304:LCP393304 LME393304:LML393304 LWA393304:LWH393304 MFW393304:MGD393304 MPS393304:MPZ393304 MZO393304:MZV393304 NJK393304:NJR393304 NTG393304:NTN393304 ODC393304:ODJ393304 OMY393304:ONF393304 OWU393304:OXB393304 PGQ393304:PGX393304 PQM393304:PQT393304 QAI393304:QAP393304 QKE393304:QKL393304 QUA393304:QUH393304 RDW393304:RED393304 RNS393304:RNZ393304 RXO393304:RXV393304 SHK393304:SHR393304 SRG393304:SRN393304 TBC393304:TBJ393304 TKY393304:TLF393304 TUU393304:TVB393304 UEQ393304:UEX393304 UOM393304:UOT393304 UYI393304:UYP393304 VIE393304:VIL393304 VSA393304:VSH393304 WBW393304:WCD393304 WLS393304:WLZ393304 WVO393304:WVV393304 G458840:N458840 JC458840:JJ458840 SY458840:TF458840 ACU458840:ADB458840 AMQ458840:AMX458840 AWM458840:AWT458840 BGI458840:BGP458840 BQE458840:BQL458840 CAA458840:CAH458840 CJW458840:CKD458840 CTS458840:CTZ458840 DDO458840:DDV458840 DNK458840:DNR458840 DXG458840:DXN458840 EHC458840:EHJ458840 EQY458840:ERF458840 FAU458840:FBB458840 FKQ458840:FKX458840 FUM458840:FUT458840 GEI458840:GEP458840 GOE458840:GOL458840 GYA458840:GYH458840 HHW458840:HID458840 HRS458840:HRZ458840 IBO458840:IBV458840 ILK458840:ILR458840 IVG458840:IVN458840 JFC458840:JFJ458840 JOY458840:JPF458840 JYU458840:JZB458840 KIQ458840:KIX458840 KSM458840:KST458840 LCI458840:LCP458840 LME458840:LML458840 LWA458840:LWH458840 MFW458840:MGD458840 MPS458840:MPZ458840 MZO458840:MZV458840 NJK458840:NJR458840 NTG458840:NTN458840 ODC458840:ODJ458840 OMY458840:ONF458840 OWU458840:OXB458840 PGQ458840:PGX458840 PQM458840:PQT458840 QAI458840:QAP458840 QKE458840:QKL458840 QUA458840:QUH458840 RDW458840:RED458840 RNS458840:RNZ458840 RXO458840:RXV458840 SHK458840:SHR458840 SRG458840:SRN458840 TBC458840:TBJ458840 TKY458840:TLF458840 TUU458840:TVB458840 UEQ458840:UEX458840 UOM458840:UOT458840 UYI458840:UYP458840 VIE458840:VIL458840 VSA458840:VSH458840 WBW458840:WCD458840 WLS458840:WLZ458840 WVO458840:WVV458840 G524376:N524376 JC524376:JJ524376 SY524376:TF524376 ACU524376:ADB524376 AMQ524376:AMX524376 AWM524376:AWT524376 BGI524376:BGP524376 BQE524376:BQL524376 CAA524376:CAH524376 CJW524376:CKD524376 CTS524376:CTZ524376 DDO524376:DDV524376 DNK524376:DNR524376 DXG524376:DXN524376 EHC524376:EHJ524376 EQY524376:ERF524376 FAU524376:FBB524376 FKQ524376:FKX524376 FUM524376:FUT524376 GEI524376:GEP524376 GOE524376:GOL524376 GYA524376:GYH524376 HHW524376:HID524376 HRS524376:HRZ524376 IBO524376:IBV524376 ILK524376:ILR524376 IVG524376:IVN524376 JFC524376:JFJ524376 JOY524376:JPF524376 JYU524376:JZB524376 KIQ524376:KIX524376 KSM524376:KST524376 LCI524376:LCP524376 LME524376:LML524376 LWA524376:LWH524376 MFW524376:MGD524376 MPS524376:MPZ524376 MZO524376:MZV524376 NJK524376:NJR524376 NTG524376:NTN524376 ODC524376:ODJ524376 OMY524376:ONF524376 OWU524376:OXB524376 PGQ524376:PGX524376 PQM524376:PQT524376 QAI524376:QAP524376 QKE524376:QKL524376 QUA524376:QUH524376 RDW524376:RED524376 RNS524376:RNZ524376 RXO524376:RXV524376 SHK524376:SHR524376 SRG524376:SRN524376 TBC524376:TBJ524376 TKY524376:TLF524376 TUU524376:TVB524376 UEQ524376:UEX524376 UOM524376:UOT524376 UYI524376:UYP524376 VIE524376:VIL524376 VSA524376:VSH524376 WBW524376:WCD524376 WLS524376:WLZ524376 WVO524376:WVV524376 G589912:N589912 JC589912:JJ589912 SY589912:TF589912 ACU589912:ADB589912 AMQ589912:AMX589912 AWM589912:AWT589912 BGI589912:BGP589912 BQE589912:BQL589912 CAA589912:CAH589912 CJW589912:CKD589912 CTS589912:CTZ589912 DDO589912:DDV589912 DNK589912:DNR589912 DXG589912:DXN589912 EHC589912:EHJ589912 EQY589912:ERF589912 FAU589912:FBB589912 FKQ589912:FKX589912 FUM589912:FUT589912 GEI589912:GEP589912 GOE589912:GOL589912 GYA589912:GYH589912 HHW589912:HID589912 HRS589912:HRZ589912 IBO589912:IBV589912 ILK589912:ILR589912 IVG589912:IVN589912 JFC589912:JFJ589912 JOY589912:JPF589912 JYU589912:JZB589912 KIQ589912:KIX589912 KSM589912:KST589912 LCI589912:LCP589912 LME589912:LML589912 LWA589912:LWH589912 MFW589912:MGD589912 MPS589912:MPZ589912 MZO589912:MZV589912 NJK589912:NJR589912 NTG589912:NTN589912 ODC589912:ODJ589912 OMY589912:ONF589912 OWU589912:OXB589912 PGQ589912:PGX589912 PQM589912:PQT589912 QAI589912:QAP589912 QKE589912:QKL589912 QUA589912:QUH589912 RDW589912:RED589912 RNS589912:RNZ589912 RXO589912:RXV589912 SHK589912:SHR589912 SRG589912:SRN589912 TBC589912:TBJ589912 TKY589912:TLF589912 TUU589912:TVB589912 UEQ589912:UEX589912 UOM589912:UOT589912 UYI589912:UYP589912 VIE589912:VIL589912 VSA589912:VSH589912 WBW589912:WCD589912 WLS589912:WLZ589912 WVO589912:WVV589912 G655448:N655448 JC655448:JJ655448 SY655448:TF655448 ACU655448:ADB655448 AMQ655448:AMX655448 AWM655448:AWT655448 BGI655448:BGP655448 BQE655448:BQL655448 CAA655448:CAH655448 CJW655448:CKD655448 CTS655448:CTZ655448 DDO655448:DDV655448 DNK655448:DNR655448 DXG655448:DXN655448 EHC655448:EHJ655448 EQY655448:ERF655448 FAU655448:FBB655448 FKQ655448:FKX655448 FUM655448:FUT655448 GEI655448:GEP655448 GOE655448:GOL655448 GYA655448:GYH655448 HHW655448:HID655448 HRS655448:HRZ655448 IBO655448:IBV655448 ILK655448:ILR655448 IVG655448:IVN655448 JFC655448:JFJ655448 JOY655448:JPF655448 JYU655448:JZB655448 KIQ655448:KIX655448 KSM655448:KST655448 LCI655448:LCP655448 LME655448:LML655448 LWA655448:LWH655448 MFW655448:MGD655448 MPS655448:MPZ655448 MZO655448:MZV655448 NJK655448:NJR655448 NTG655448:NTN655448 ODC655448:ODJ655448 OMY655448:ONF655448 OWU655448:OXB655448 PGQ655448:PGX655448 PQM655448:PQT655448 QAI655448:QAP655448 QKE655448:QKL655448 QUA655448:QUH655448 RDW655448:RED655448 RNS655448:RNZ655448 RXO655448:RXV655448 SHK655448:SHR655448 SRG655448:SRN655448 TBC655448:TBJ655448 TKY655448:TLF655448 TUU655448:TVB655448 UEQ655448:UEX655448 UOM655448:UOT655448 UYI655448:UYP655448 VIE655448:VIL655448 VSA655448:VSH655448 WBW655448:WCD655448 WLS655448:WLZ655448 WVO655448:WVV655448 G720984:N720984 JC720984:JJ720984 SY720984:TF720984 ACU720984:ADB720984 AMQ720984:AMX720984 AWM720984:AWT720984 BGI720984:BGP720984 BQE720984:BQL720984 CAA720984:CAH720984 CJW720984:CKD720984 CTS720984:CTZ720984 DDO720984:DDV720984 DNK720984:DNR720984 DXG720984:DXN720984 EHC720984:EHJ720984 EQY720984:ERF720984 FAU720984:FBB720984 FKQ720984:FKX720984 FUM720984:FUT720984 GEI720984:GEP720984 GOE720984:GOL720984 GYA720984:GYH720984 HHW720984:HID720984 HRS720984:HRZ720984 IBO720984:IBV720984 ILK720984:ILR720984 IVG720984:IVN720984 JFC720984:JFJ720984 JOY720984:JPF720984 JYU720984:JZB720984 KIQ720984:KIX720984 KSM720984:KST720984 LCI720984:LCP720984 LME720984:LML720984 LWA720984:LWH720984 MFW720984:MGD720984 MPS720984:MPZ720984 MZO720984:MZV720984 NJK720984:NJR720984 NTG720984:NTN720984 ODC720984:ODJ720984 OMY720984:ONF720984 OWU720984:OXB720984 PGQ720984:PGX720984 PQM720984:PQT720984 QAI720984:QAP720984 QKE720984:QKL720984 QUA720984:QUH720984 RDW720984:RED720984 RNS720984:RNZ720984 RXO720984:RXV720984 SHK720984:SHR720984 SRG720984:SRN720984 TBC720984:TBJ720984 TKY720984:TLF720984 TUU720984:TVB720984 UEQ720984:UEX720984 UOM720984:UOT720984 UYI720984:UYP720984 VIE720984:VIL720984 VSA720984:VSH720984 WBW720984:WCD720984 WLS720984:WLZ720984 WVO720984:WVV720984 G786520:N786520 JC786520:JJ786520 SY786520:TF786520 ACU786520:ADB786520 AMQ786520:AMX786520 AWM786520:AWT786520 BGI786520:BGP786520 BQE786520:BQL786520 CAA786520:CAH786520 CJW786520:CKD786520 CTS786520:CTZ786520 DDO786520:DDV786520 DNK786520:DNR786520 DXG786520:DXN786520 EHC786520:EHJ786520 EQY786520:ERF786520 FAU786520:FBB786520 FKQ786520:FKX786520 FUM786520:FUT786520 GEI786520:GEP786520 GOE786520:GOL786520 GYA786520:GYH786520 HHW786520:HID786520 HRS786520:HRZ786520 IBO786520:IBV786520 ILK786520:ILR786520 IVG786520:IVN786520 JFC786520:JFJ786520 JOY786520:JPF786520 JYU786520:JZB786520 KIQ786520:KIX786520 KSM786520:KST786520 LCI786520:LCP786520 LME786520:LML786520 LWA786520:LWH786520 MFW786520:MGD786520 MPS786520:MPZ786520 MZO786520:MZV786520 NJK786520:NJR786520 NTG786520:NTN786520 ODC786520:ODJ786520 OMY786520:ONF786520 OWU786520:OXB786520 PGQ786520:PGX786520 PQM786520:PQT786520 QAI786520:QAP786520 QKE786520:QKL786520 QUA786520:QUH786520 RDW786520:RED786520 RNS786520:RNZ786520 RXO786520:RXV786520 SHK786520:SHR786520 SRG786520:SRN786520 TBC786520:TBJ786520 TKY786520:TLF786520 TUU786520:TVB786520 UEQ786520:UEX786520 UOM786520:UOT786520 UYI786520:UYP786520 VIE786520:VIL786520 VSA786520:VSH786520 WBW786520:WCD786520 WLS786520:WLZ786520 WVO786520:WVV786520 G852056:N852056 JC852056:JJ852056 SY852056:TF852056 ACU852056:ADB852056 AMQ852056:AMX852056 AWM852056:AWT852056 BGI852056:BGP852056 BQE852056:BQL852056 CAA852056:CAH852056 CJW852056:CKD852056 CTS852056:CTZ852056 DDO852056:DDV852056 DNK852056:DNR852056 DXG852056:DXN852056 EHC852056:EHJ852056 EQY852056:ERF852056 FAU852056:FBB852056 FKQ852056:FKX852056 FUM852056:FUT852056 GEI852056:GEP852056 GOE852056:GOL852056 GYA852056:GYH852056 HHW852056:HID852056 HRS852056:HRZ852056 IBO852056:IBV852056 ILK852056:ILR852056 IVG852056:IVN852056 JFC852056:JFJ852056 JOY852056:JPF852056 JYU852056:JZB852056 KIQ852056:KIX852056 KSM852056:KST852056 LCI852056:LCP852056 LME852056:LML852056 LWA852056:LWH852056 MFW852056:MGD852056 MPS852056:MPZ852056 MZO852056:MZV852056 NJK852056:NJR852056 NTG852056:NTN852056 ODC852056:ODJ852056 OMY852056:ONF852056 OWU852056:OXB852056 PGQ852056:PGX852056 PQM852056:PQT852056 QAI852056:QAP852056 QKE852056:QKL852056 QUA852056:QUH852056 RDW852056:RED852056 RNS852056:RNZ852056 RXO852056:RXV852056 SHK852056:SHR852056 SRG852056:SRN852056 TBC852056:TBJ852056 TKY852056:TLF852056 TUU852056:TVB852056 UEQ852056:UEX852056 UOM852056:UOT852056 UYI852056:UYP852056 VIE852056:VIL852056 VSA852056:VSH852056 WBW852056:WCD852056 WLS852056:WLZ852056 WVO852056:WVV852056 G917592:N917592 JC917592:JJ917592 SY917592:TF917592 ACU917592:ADB917592 AMQ917592:AMX917592 AWM917592:AWT917592 BGI917592:BGP917592 BQE917592:BQL917592 CAA917592:CAH917592 CJW917592:CKD917592 CTS917592:CTZ917592 DDO917592:DDV917592 DNK917592:DNR917592 DXG917592:DXN917592 EHC917592:EHJ917592 EQY917592:ERF917592 FAU917592:FBB917592 FKQ917592:FKX917592 FUM917592:FUT917592 GEI917592:GEP917592 GOE917592:GOL917592 GYA917592:GYH917592 HHW917592:HID917592 HRS917592:HRZ917592 IBO917592:IBV917592 ILK917592:ILR917592 IVG917592:IVN917592 JFC917592:JFJ917592 JOY917592:JPF917592 JYU917592:JZB917592 KIQ917592:KIX917592 KSM917592:KST917592 LCI917592:LCP917592 LME917592:LML917592 LWA917592:LWH917592 MFW917592:MGD917592 MPS917592:MPZ917592 MZO917592:MZV917592 NJK917592:NJR917592 NTG917592:NTN917592 ODC917592:ODJ917592 OMY917592:ONF917592 OWU917592:OXB917592 PGQ917592:PGX917592 PQM917592:PQT917592 QAI917592:QAP917592 QKE917592:QKL917592 QUA917592:QUH917592 RDW917592:RED917592 RNS917592:RNZ917592 RXO917592:RXV917592 SHK917592:SHR917592 SRG917592:SRN917592 TBC917592:TBJ917592 TKY917592:TLF917592 TUU917592:TVB917592 UEQ917592:UEX917592 UOM917592:UOT917592 UYI917592:UYP917592 VIE917592:VIL917592 VSA917592:VSH917592 WBW917592:WCD917592 WLS917592:WLZ917592 WVO917592:WVV917592 G983128:N983128 JC983128:JJ983128 SY983128:TF983128 ACU983128:ADB983128 AMQ983128:AMX983128 AWM983128:AWT983128 BGI983128:BGP983128 BQE983128:BQL983128 CAA983128:CAH983128 CJW983128:CKD983128 CTS983128:CTZ983128 DDO983128:DDV983128 DNK983128:DNR983128 DXG983128:DXN983128 EHC983128:EHJ983128 EQY983128:ERF983128 FAU983128:FBB983128 FKQ983128:FKX983128 FUM983128:FUT983128 GEI983128:GEP983128 GOE983128:GOL983128 GYA983128:GYH983128 HHW983128:HID983128 HRS983128:HRZ983128 IBO983128:IBV983128 ILK983128:ILR983128 IVG983128:IVN983128 JFC983128:JFJ983128 JOY983128:JPF983128 JYU983128:JZB983128 KIQ983128:KIX983128 KSM983128:KST983128 LCI983128:LCP983128 LME983128:LML983128 LWA983128:LWH983128 MFW983128:MGD983128 MPS983128:MPZ983128 MZO983128:MZV983128 NJK983128:NJR983128 NTG983128:NTN983128 ODC983128:ODJ983128 OMY983128:ONF983128 OWU983128:OXB983128 PGQ983128:PGX983128 PQM983128:PQT983128 QAI983128:QAP983128 QKE983128:QKL983128 QUA983128:QUH983128 RDW983128:RED983128 RNS983128:RNZ983128 RXO983128:RXV983128 SHK983128:SHR983128 SRG983128:SRN983128 TBC983128:TBJ983128 TKY983128:TLF983128 TUU983128:TVB983128 UEQ983128:UEX983128 UOM983128:UOT983128 UYI983128:UYP983128 VIE983128:VIL983128 VSA983128:VSH983128 WBW983128:WCD983128 WLS983128:WLZ983128 WVO983128:WVV983128" xr:uid="{00000000-0002-0000-0F00-000001000000}">
      <formula1>"改修,新営"</formula1>
    </dataValidation>
    <dataValidation type="list" allowBlank="1" showInputMessage="1" showErrorMessage="1" sqref="G92:N92 JC92:JJ92 SY92:TF92 ACU92:ADB92 AMQ92:AMX92 AWM92:AWT92 BGI92:BGP92 BQE92:BQL92 CAA92:CAH92 CJW92:CKD92 CTS92:CTZ92 DDO92:DDV92 DNK92:DNR92 DXG92:DXN92 EHC92:EHJ92 EQY92:ERF92 FAU92:FBB92 FKQ92:FKX92 FUM92:FUT92 GEI92:GEP92 GOE92:GOL92 GYA92:GYH92 HHW92:HID92 HRS92:HRZ92 IBO92:IBV92 ILK92:ILR92 IVG92:IVN92 JFC92:JFJ92 JOY92:JPF92 JYU92:JZB92 KIQ92:KIX92 KSM92:KST92 LCI92:LCP92 LME92:LML92 LWA92:LWH92 MFW92:MGD92 MPS92:MPZ92 MZO92:MZV92 NJK92:NJR92 NTG92:NTN92 ODC92:ODJ92 OMY92:ONF92 OWU92:OXB92 PGQ92:PGX92 PQM92:PQT92 QAI92:QAP92 QKE92:QKL92 QUA92:QUH92 RDW92:RED92 RNS92:RNZ92 RXO92:RXV92 SHK92:SHR92 SRG92:SRN92 TBC92:TBJ92 TKY92:TLF92 TUU92:TVB92 UEQ92:UEX92 UOM92:UOT92 UYI92:UYP92 VIE92:VIL92 VSA92:VSH92 WBW92:WCD92 WLS92:WLZ92 WVO92:WVV92 G65628:N65628 JC65628:JJ65628 SY65628:TF65628 ACU65628:ADB65628 AMQ65628:AMX65628 AWM65628:AWT65628 BGI65628:BGP65628 BQE65628:BQL65628 CAA65628:CAH65628 CJW65628:CKD65628 CTS65628:CTZ65628 DDO65628:DDV65628 DNK65628:DNR65628 DXG65628:DXN65628 EHC65628:EHJ65628 EQY65628:ERF65628 FAU65628:FBB65628 FKQ65628:FKX65628 FUM65628:FUT65628 GEI65628:GEP65628 GOE65628:GOL65628 GYA65628:GYH65628 HHW65628:HID65628 HRS65628:HRZ65628 IBO65628:IBV65628 ILK65628:ILR65628 IVG65628:IVN65628 JFC65628:JFJ65628 JOY65628:JPF65628 JYU65628:JZB65628 KIQ65628:KIX65628 KSM65628:KST65628 LCI65628:LCP65628 LME65628:LML65628 LWA65628:LWH65628 MFW65628:MGD65628 MPS65628:MPZ65628 MZO65628:MZV65628 NJK65628:NJR65628 NTG65628:NTN65628 ODC65628:ODJ65628 OMY65628:ONF65628 OWU65628:OXB65628 PGQ65628:PGX65628 PQM65628:PQT65628 QAI65628:QAP65628 QKE65628:QKL65628 QUA65628:QUH65628 RDW65628:RED65628 RNS65628:RNZ65628 RXO65628:RXV65628 SHK65628:SHR65628 SRG65628:SRN65628 TBC65628:TBJ65628 TKY65628:TLF65628 TUU65628:TVB65628 UEQ65628:UEX65628 UOM65628:UOT65628 UYI65628:UYP65628 VIE65628:VIL65628 VSA65628:VSH65628 WBW65628:WCD65628 WLS65628:WLZ65628 WVO65628:WVV65628 G131164:N131164 JC131164:JJ131164 SY131164:TF131164 ACU131164:ADB131164 AMQ131164:AMX131164 AWM131164:AWT131164 BGI131164:BGP131164 BQE131164:BQL131164 CAA131164:CAH131164 CJW131164:CKD131164 CTS131164:CTZ131164 DDO131164:DDV131164 DNK131164:DNR131164 DXG131164:DXN131164 EHC131164:EHJ131164 EQY131164:ERF131164 FAU131164:FBB131164 FKQ131164:FKX131164 FUM131164:FUT131164 GEI131164:GEP131164 GOE131164:GOL131164 GYA131164:GYH131164 HHW131164:HID131164 HRS131164:HRZ131164 IBO131164:IBV131164 ILK131164:ILR131164 IVG131164:IVN131164 JFC131164:JFJ131164 JOY131164:JPF131164 JYU131164:JZB131164 KIQ131164:KIX131164 KSM131164:KST131164 LCI131164:LCP131164 LME131164:LML131164 LWA131164:LWH131164 MFW131164:MGD131164 MPS131164:MPZ131164 MZO131164:MZV131164 NJK131164:NJR131164 NTG131164:NTN131164 ODC131164:ODJ131164 OMY131164:ONF131164 OWU131164:OXB131164 PGQ131164:PGX131164 PQM131164:PQT131164 QAI131164:QAP131164 QKE131164:QKL131164 QUA131164:QUH131164 RDW131164:RED131164 RNS131164:RNZ131164 RXO131164:RXV131164 SHK131164:SHR131164 SRG131164:SRN131164 TBC131164:TBJ131164 TKY131164:TLF131164 TUU131164:TVB131164 UEQ131164:UEX131164 UOM131164:UOT131164 UYI131164:UYP131164 VIE131164:VIL131164 VSA131164:VSH131164 WBW131164:WCD131164 WLS131164:WLZ131164 WVO131164:WVV131164 G196700:N196700 JC196700:JJ196700 SY196700:TF196700 ACU196700:ADB196700 AMQ196700:AMX196700 AWM196700:AWT196700 BGI196700:BGP196700 BQE196700:BQL196700 CAA196700:CAH196700 CJW196700:CKD196700 CTS196700:CTZ196700 DDO196700:DDV196700 DNK196700:DNR196700 DXG196700:DXN196700 EHC196700:EHJ196700 EQY196700:ERF196700 FAU196700:FBB196700 FKQ196700:FKX196700 FUM196700:FUT196700 GEI196700:GEP196700 GOE196700:GOL196700 GYA196700:GYH196700 HHW196700:HID196700 HRS196700:HRZ196700 IBO196700:IBV196700 ILK196700:ILR196700 IVG196700:IVN196700 JFC196700:JFJ196700 JOY196700:JPF196700 JYU196700:JZB196700 KIQ196700:KIX196700 KSM196700:KST196700 LCI196700:LCP196700 LME196700:LML196700 LWA196700:LWH196700 MFW196700:MGD196700 MPS196700:MPZ196700 MZO196700:MZV196700 NJK196700:NJR196700 NTG196700:NTN196700 ODC196700:ODJ196700 OMY196700:ONF196700 OWU196700:OXB196700 PGQ196700:PGX196700 PQM196700:PQT196700 QAI196700:QAP196700 QKE196700:QKL196700 QUA196700:QUH196700 RDW196700:RED196700 RNS196700:RNZ196700 RXO196700:RXV196700 SHK196700:SHR196700 SRG196700:SRN196700 TBC196700:TBJ196700 TKY196700:TLF196700 TUU196700:TVB196700 UEQ196700:UEX196700 UOM196700:UOT196700 UYI196700:UYP196700 VIE196700:VIL196700 VSA196700:VSH196700 WBW196700:WCD196700 WLS196700:WLZ196700 WVO196700:WVV196700 G262236:N262236 JC262236:JJ262236 SY262236:TF262236 ACU262236:ADB262236 AMQ262236:AMX262236 AWM262236:AWT262236 BGI262236:BGP262236 BQE262236:BQL262236 CAA262236:CAH262236 CJW262236:CKD262236 CTS262236:CTZ262236 DDO262236:DDV262236 DNK262236:DNR262236 DXG262236:DXN262236 EHC262236:EHJ262236 EQY262236:ERF262236 FAU262236:FBB262236 FKQ262236:FKX262236 FUM262236:FUT262236 GEI262236:GEP262236 GOE262236:GOL262236 GYA262236:GYH262236 HHW262236:HID262236 HRS262236:HRZ262236 IBO262236:IBV262236 ILK262236:ILR262236 IVG262236:IVN262236 JFC262236:JFJ262236 JOY262236:JPF262236 JYU262236:JZB262236 KIQ262236:KIX262236 KSM262236:KST262236 LCI262236:LCP262236 LME262236:LML262236 LWA262236:LWH262236 MFW262236:MGD262236 MPS262236:MPZ262236 MZO262236:MZV262236 NJK262236:NJR262236 NTG262236:NTN262236 ODC262236:ODJ262236 OMY262236:ONF262236 OWU262236:OXB262236 PGQ262236:PGX262236 PQM262236:PQT262236 QAI262236:QAP262236 QKE262236:QKL262236 QUA262236:QUH262236 RDW262236:RED262236 RNS262236:RNZ262236 RXO262236:RXV262236 SHK262236:SHR262236 SRG262236:SRN262236 TBC262236:TBJ262236 TKY262236:TLF262236 TUU262236:TVB262236 UEQ262236:UEX262236 UOM262236:UOT262236 UYI262236:UYP262236 VIE262236:VIL262236 VSA262236:VSH262236 WBW262236:WCD262236 WLS262236:WLZ262236 WVO262236:WVV262236 G327772:N327772 JC327772:JJ327772 SY327772:TF327772 ACU327772:ADB327772 AMQ327772:AMX327772 AWM327772:AWT327772 BGI327772:BGP327772 BQE327772:BQL327772 CAA327772:CAH327772 CJW327772:CKD327772 CTS327772:CTZ327772 DDO327772:DDV327772 DNK327772:DNR327772 DXG327772:DXN327772 EHC327772:EHJ327772 EQY327772:ERF327772 FAU327772:FBB327772 FKQ327772:FKX327772 FUM327772:FUT327772 GEI327772:GEP327772 GOE327772:GOL327772 GYA327772:GYH327772 HHW327772:HID327772 HRS327772:HRZ327772 IBO327772:IBV327772 ILK327772:ILR327772 IVG327772:IVN327772 JFC327772:JFJ327772 JOY327772:JPF327772 JYU327772:JZB327772 KIQ327772:KIX327772 KSM327772:KST327772 LCI327772:LCP327772 LME327772:LML327772 LWA327772:LWH327772 MFW327772:MGD327772 MPS327772:MPZ327772 MZO327772:MZV327772 NJK327772:NJR327772 NTG327772:NTN327772 ODC327772:ODJ327772 OMY327772:ONF327772 OWU327772:OXB327772 PGQ327772:PGX327772 PQM327772:PQT327772 QAI327772:QAP327772 QKE327772:QKL327772 QUA327772:QUH327772 RDW327772:RED327772 RNS327772:RNZ327772 RXO327772:RXV327772 SHK327772:SHR327772 SRG327772:SRN327772 TBC327772:TBJ327772 TKY327772:TLF327772 TUU327772:TVB327772 UEQ327772:UEX327772 UOM327772:UOT327772 UYI327772:UYP327772 VIE327772:VIL327772 VSA327772:VSH327772 WBW327772:WCD327772 WLS327772:WLZ327772 WVO327772:WVV327772 G393308:N393308 JC393308:JJ393308 SY393308:TF393308 ACU393308:ADB393308 AMQ393308:AMX393308 AWM393308:AWT393308 BGI393308:BGP393308 BQE393308:BQL393308 CAA393308:CAH393308 CJW393308:CKD393308 CTS393308:CTZ393308 DDO393308:DDV393308 DNK393308:DNR393308 DXG393308:DXN393308 EHC393308:EHJ393308 EQY393308:ERF393308 FAU393308:FBB393308 FKQ393308:FKX393308 FUM393308:FUT393308 GEI393308:GEP393308 GOE393308:GOL393308 GYA393308:GYH393308 HHW393308:HID393308 HRS393308:HRZ393308 IBO393308:IBV393308 ILK393308:ILR393308 IVG393308:IVN393308 JFC393308:JFJ393308 JOY393308:JPF393308 JYU393308:JZB393308 KIQ393308:KIX393308 KSM393308:KST393308 LCI393308:LCP393308 LME393308:LML393308 LWA393308:LWH393308 MFW393308:MGD393308 MPS393308:MPZ393308 MZO393308:MZV393308 NJK393308:NJR393308 NTG393308:NTN393308 ODC393308:ODJ393308 OMY393308:ONF393308 OWU393308:OXB393308 PGQ393308:PGX393308 PQM393308:PQT393308 QAI393308:QAP393308 QKE393308:QKL393308 QUA393308:QUH393308 RDW393308:RED393308 RNS393308:RNZ393308 RXO393308:RXV393308 SHK393308:SHR393308 SRG393308:SRN393308 TBC393308:TBJ393308 TKY393308:TLF393308 TUU393308:TVB393308 UEQ393308:UEX393308 UOM393308:UOT393308 UYI393308:UYP393308 VIE393308:VIL393308 VSA393308:VSH393308 WBW393308:WCD393308 WLS393308:WLZ393308 WVO393308:WVV393308 G458844:N458844 JC458844:JJ458844 SY458844:TF458844 ACU458844:ADB458844 AMQ458844:AMX458844 AWM458844:AWT458844 BGI458844:BGP458844 BQE458844:BQL458844 CAA458844:CAH458844 CJW458844:CKD458844 CTS458844:CTZ458844 DDO458844:DDV458844 DNK458844:DNR458844 DXG458844:DXN458844 EHC458844:EHJ458844 EQY458844:ERF458844 FAU458844:FBB458844 FKQ458844:FKX458844 FUM458844:FUT458844 GEI458844:GEP458844 GOE458844:GOL458844 GYA458844:GYH458844 HHW458844:HID458844 HRS458844:HRZ458844 IBO458844:IBV458844 ILK458844:ILR458844 IVG458844:IVN458844 JFC458844:JFJ458844 JOY458844:JPF458844 JYU458844:JZB458844 KIQ458844:KIX458844 KSM458844:KST458844 LCI458844:LCP458844 LME458844:LML458844 LWA458844:LWH458844 MFW458844:MGD458844 MPS458844:MPZ458844 MZO458844:MZV458844 NJK458844:NJR458844 NTG458844:NTN458844 ODC458844:ODJ458844 OMY458844:ONF458844 OWU458844:OXB458844 PGQ458844:PGX458844 PQM458844:PQT458844 QAI458844:QAP458844 QKE458844:QKL458844 QUA458844:QUH458844 RDW458844:RED458844 RNS458844:RNZ458844 RXO458844:RXV458844 SHK458844:SHR458844 SRG458844:SRN458844 TBC458844:TBJ458844 TKY458844:TLF458844 TUU458844:TVB458844 UEQ458844:UEX458844 UOM458844:UOT458844 UYI458844:UYP458844 VIE458844:VIL458844 VSA458844:VSH458844 WBW458844:WCD458844 WLS458844:WLZ458844 WVO458844:WVV458844 G524380:N524380 JC524380:JJ524380 SY524380:TF524380 ACU524380:ADB524380 AMQ524380:AMX524380 AWM524380:AWT524380 BGI524380:BGP524380 BQE524380:BQL524380 CAA524380:CAH524380 CJW524380:CKD524380 CTS524380:CTZ524380 DDO524380:DDV524380 DNK524380:DNR524380 DXG524380:DXN524380 EHC524380:EHJ524380 EQY524380:ERF524380 FAU524380:FBB524380 FKQ524380:FKX524380 FUM524380:FUT524380 GEI524380:GEP524380 GOE524380:GOL524380 GYA524380:GYH524380 HHW524380:HID524380 HRS524380:HRZ524380 IBO524380:IBV524380 ILK524380:ILR524380 IVG524380:IVN524380 JFC524380:JFJ524380 JOY524380:JPF524380 JYU524380:JZB524380 KIQ524380:KIX524380 KSM524380:KST524380 LCI524380:LCP524380 LME524380:LML524380 LWA524380:LWH524380 MFW524380:MGD524380 MPS524380:MPZ524380 MZO524380:MZV524380 NJK524380:NJR524380 NTG524380:NTN524380 ODC524380:ODJ524380 OMY524380:ONF524380 OWU524380:OXB524380 PGQ524380:PGX524380 PQM524380:PQT524380 QAI524380:QAP524380 QKE524380:QKL524380 QUA524380:QUH524380 RDW524380:RED524380 RNS524380:RNZ524380 RXO524380:RXV524380 SHK524380:SHR524380 SRG524380:SRN524380 TBC524380:TBJ524380 TKY524380:TLF524380 TUU524380:TVB524380 UEQ524380:UEX524380 UOM524380:UOT524380 UYI524380:UYP524380 VIE524380:VIL524380 VSA524380:VSH524380 WBW524380:WCD524380 WLS524380:WLZ524380 WVO524380:WVV524380 G589916:N589916 JC589916:JJ589916 SY589916:TF589916 ACU589916:ADB589916 AMQ589916:AMX589916 AWM589916:AWT589916 BGI589916:BGP589916 BQE589916:BQL589916 CAA589916:CAH589916 CJW589916:CKD589916 CTS589916:CTZ589916 DDO589916:DDV589916 DNK589916:DNR589916 DXG589916:DXN589916 EHC589916:EHJ589916 EQY589916:ERF589916 FAU589916:FBB589916 FKQ589916:FKX589916 FUM589916:FUT589916 GEI589916:GEP589916 GOE589916:GOL589916 GYA589916:GYH589916 HHW589916:HID589916 HRS589916:HRZ589916 IBO589916:IBV589916 ILK589916:ILR589916 IVG589916:IVN589916 JFC589916:JFJ589916 JOY589916:JPF589916 JYU589916:JZB589916 KIQ589916:KIX589916 KSM589916:KST589916 LCI589916:LCP589916 LME589916:LML589916 LWA589916:LWH589916 MFW589916:MGD589916 MPS589916:MPZ589916 MZO589916:MZV589916 NJK589916:NJR589916 NTG589916:NTN589916 ODC589916:ODJ589916 OMY589916:ONF589916 OWU589916:OXB589916 PGQ589916:PGX589916 PQM589916:PQT589916 QAI589916:QAP589916 QKE589916:QKL589916 QUA589916:QUH589916 RDW589916:RED589916 RNS589916:RNZ589916 RXO589916:RXV589916 SHK589916:SHR589916 SRG589916:SRN589916 TBC589916:TBJ589916 TKY589916:TLF589916 TUU589916:TVB589916 UEQ589916:UEX589916 UOM589916:UOT589916 UYI589916:UYP589916 VIE589916:VIL589916 VSA589916:VSH589916 WBW589916:WCD589916 WLS589916:WLZ589916 WVO589916:WVV589916 G655452:N655452 JC655452:JJ655452 SY655452:TF655452 ACU655452:ADB655452 AMQ655452:AMX655452 AWM655452:AWT655452 BGI655452:BGP655452 BQE655452:BQL655452 CAA655452:CAH655452 CJW655452:CKD655452 CTS655452:CTZ655452 DDO655452:DDV655452 DNK655452:DNR655452 DXG655452:DXN655452 EHC655452:EHJ655452 EQY655452:ERF655452 FAU655452:FBB655452 FKQ655452:FKX655452 FUM655452:FUT655452 GEI655452:GEP655452 GOE655452:GOL655452 GYA655452:GYH655452 HHW655452:HID655452 HRS655452:HRZ655452 IBO655452:IBV655452 ILK655452:ILR655452 IVG655452:IVN655452 JFC655452:JFJ655452 JOY655452:JPF655452 JYU655452:JZB655452 KIQ655452:KIX655452 KSM655452:KST655452 LCI655452:LCP655452 LME655452:LML655452 LWA655452:LWH655452 MFW655452:MGD655452 MPS655452:MPZ655452 MZO655452:MZV655452 NJK655452:NJR655452 NTG655452:NTN655452 ODC655452:ODJ655452 OMY655452:ONF655452 OWU655452:OXB655452 PGQ655452:PGX655452 PQM655452:PQT655452 QAI655452:QAP655452 QKE655452:QKL655452 QUA655452:QUH655452 RDW655452:RED655452 RNS655452:RNZ655452 RXO655452:RXV655452 SHK655452:SHR655452 SRG655452:SRN655452 TBC655452:TBJ655452 TKY655452:TLF655452 TUU655452:TVB655452 UEQ655452:UEX655452 UOM655452:UOT655452 UYI655452:UYP655452 VIE655452:VIL655452 VSA655452:VSH655452 WBW655452:WCD655452 WLS655452:WLZ655452 WVO655452:WVV655452 G720988:N720988 JC720988:JJ720988 SY720988:TF720988 ACU720988:ADB720988 AMQ720988:AMX720988 AWM720988:AWT720988 BGI720988:BGP720988 BQE720988:BQL720988 CAA720988:CAH720988 CJW720988:CKD720988 CTS720988:CTZ720988 DDO720988:DDV720988 DNK720988:DNR720988 DXG720988:DXN720988 EHC720988:EHJ720988 EQY720988:ERF720988 FAU720988:FBB720988 FKQ720988:FKX720988 FUM720988:FUT720988 GEI720988:GEP720988 GOE720988:GOL720988 GYA720988:GYH720988 HHW720988:HID720988 HRS720988:HRZ720988 IBO720988:IBV720988 ILK720988:ILR720988 IVG720988:IVN720988 JFC720988:JFJ720988 JOY720988:JPF720988 JYU720988:JZB720988 KIQ720988:KIX720988 KSM720988:KST720988 LCI720988:LCP720988 LME720988:LML720988 LWA720988:LWH720988 MFW720988:MGD720988 MPS720988:MPZ720988 MZO720988:MZV720988 NJK720988:NJR720988 NTG720988:NTN720988 ODC720988:ODJ720988 OMY720988:ONF720988 OWU720988:OXB720988 PGQ720988:PGX720988 PQM720988:PQT720988 QAI720988:QAP720988 QKE720988:QKL720988 QUA720988:QUH720988 RDW720988:RED720988 RNS720988:RNZ720988 RXO720988:RXV720988 SHK720988:SHR720988 SRG720988:SRN720988 TBC720988:TBJ720988 TKY720988:TLF720988 TUU720988:TVB720988 UEQ720988:UEX720988 UOM720988:UOT720988 UYI720988:UYP720988 VIE720988:VIL720988 VSA720988:VSH720988 WBW720988:WCD720988 WLS720988:WLZ720988 WVO720988:WVV720988 G786524:N786524 JC786524:JJ786524 SY786524:TF786524 ACU786524:ADB786524 AMQ786524:AMX786524 AWM786524:AWT786524 BGI786524:BGP786524 BQE786524:BQL786524 CAA786524:CAH786524 CJW786524:CKD786524 CTS786524:CTZ786524 DDO786524:DDV786524 DNK786524:DNR786524 DXG786524:DXN786524 EHC786524:EHJ786524 EQY786524:ERF786524 FAU786524:FBB786524 FKQ786524:FKX786524 FUM786524:FUT786524 GEI786524:GEP786524 GOE786524:GOL786524 GYA786524:GYH786524 HHW786524:HID786524 HRS786524:HRZ786524 IBO786524:IBV786524 ILK786524:ILR786524 IVG786524:IVN786524 JFC786524:JFJ786524 JOY786524:JPF786524 JYU786524:JZB786524 KIQ786524:KIX786524 KSM786524:KST786524 LCI786524:LCP786524 LME786524:LML786524 LWA786524:LWH786524 MFW786524:MGD786524 MPS786524:MPZ786524 MZO786524:MZV786524 NJK786524:NJR786524 NTG786524:NTN786524 ODC786524:ODJ786524 OMY786524:ONF786524 OWU786524:OXB786524 PGQ786524:PGX786524 PQM786524:PQT786524 QAI786524:QAP786524 QKE786524:QKL786524 QUA786524:QUH786524 RDW786524:RED786524 RNS786524:RNZ786524 RXO786524:RXV786524 SHK786524:SHR786524 SRG786524:SRN786524 TBC786524:TBJ786524 TKY786524:TLF786524 TUU786524:TVB786524 UEQ786524:UEX786524 UOM786524:UOT786524 UYI786524:UYP786524 VIE786524:VIL786524 VSA786524:VSH786524 WBW786524:WCD786524 WLS786524:WLZ786524 WVO786524:WVV786524 G852060:N852060 JC852060:JJ852060 SY852060:TF852060 ACU852060:ADB852060 AMQ852060:AMX852060 AWM852060:AWT852060 BGI852060:BGP852060 BQE852060:BQL852060 CAA852060:CAH852060 CJW852060:CKD852060 CTS852060:CTZ852060 DDO852060:DDV852060 DNK852060:DNR852060 DXG852060:DXN852060 EHC852060:EHJ852060 EQY852060:ERF852060 FAU852060:FBB852060 FKQ852060:FKX852060 FUM852060:FUT852060 GEI852060:GEP852060 GOE852060:GOL852060 GYA852060:GYH852060 HHW852060:HID852060 HRS852060:HRZ852060 IBO852060:IBV852060 ILK852060:ILR852060 IVG852060:IVN852060 JFC852060:JFJ852060 JOY852060:JPF852060 JYU852060:JZB852060 KIQ852060:KIX852060 KSM852060:KST852060 LCI852060:LCP852060 LME852060:LML852060 LWA852060:LWH852060 MFW852060:MGD852060 MPS852060:MPZ852060 MZO852060:MZV852060 NJK852060:NJR852060 NTG852060:NTN852060 ODC852060:ODJ852060 OMY852060:ONF852060 OWU852060:OXB852060 PGQ852060:PGX852060 PQM852060:PQT852060 QAI852060:QAP852060 QKE852060:QKL852060 QUA852060:QUH852060 RDW852060:RED852060 RNS852060:RNZ852060 RXO852060:RXV852060 SHK852060:SHR852060 SRG852060:SRN852060 TBC852060:TBJ852060 TKY852060:TLF852060 TUU852060:TVB852060 UEQ852060:UEX852060 UOM852060:UOT852060 UYI852060:UYP852060 VIE852060:VIL852060 VSA852060:VSH852060 WBW852060:WCD852060 WLS852060:WLZ852060 WVO852060:WVV852060 G917596:N917596 JC917596:JJ917596 SY917596:TF917596 ACU917596:ADB917596 AMQ917596:AMX917596 AWM917596:AWT917596 BGI917596:BGP917596 BQE917596:BQL917596 CAA917596:CAH917596 CJW917596:CKD917596 CTS917596:CTZ917596 DDO917596:DDV917596 DNK917596:DNR917596 DXG917596:DXN917596 EHC917596:EHJ917596 EQY917596:ERF917596 FAU917596:FBB917596 FKQ917596:FKX917596 FUM917596:FUT917596 GEI917596:GEP917596 GOE917596:GOL917596 GYA917596:GYH917596 HHW917596:HID917596 HRS917596:HRZ917596 IBO917596:IBV917596 ILK917596:ILR917596 IVG917596:IVN917596 JFC917596:JFJ917596 JOY917596:JPF917596 JYU917596:JZB917596 KIQ917596:KIX917596 KSM917596:KST917596 LCI917596:LCP917596 LME917596:LML917596 LWA917596:LWH917596 MFW917596:MGD917596 MPS917596:MPZ917596 MZO917596:MZV917596 NJK917596:NJR917596 NTG917596:NTN917596 ODC917596:ODJ917596 OMY917596:ONF917596 OWU917596:OXB917596 PGQ917596:PGX917596 PQM917596:PQT917596 QAI917596:QAP917596 QKE917596:QKL917596 QUA917596:QUH917596 RDW917596:RED917596 RNS917596:RNZ917596 RXO917596:RXV917596 SHK917596:SHR917596 SRG917596:SRN917596 TBC917596:TBJ917596 TKY917596:TLF917596 TUU917596:TVB917596 UEQ917596:UEX917596 UOM917596:UOT917596 UYI917596:UYP917596 VIE917596:VIL917596 VSA917596:VSH917596 WBW917596:WCD917596 WLS917596:WLZ917596 WVO917596:WVV917596 G983132:N983132 JC983132:JJ983132 SY983132:TF983132 ACU983132:ADB983132 AMQ983132:AMX983132 AWM983132:AWT983132 BGI983132:BGP983132 BQE983132:BQL983132 CAA983132:CAH983132 CJW983132:CKD983132 CTS983132:CTZ983132 DDO983132:DDV983132 DNK983132:DNR983132 DXG983132:DXN983132 EHC983132:EHJ983132 EQY983132:ERF983132 FAU983132:FBB983132 FKQ983132:FKX983132 FUM983132:FUT983132 GEI983132:GEP983132 GOE983132:GOL983132 GYA983132:GYH983132 HHW983132:HID983132 HRS983132:HRZ983132 IBO983132:IBV983132 ILK983132:ILR983132 IVG983132:IVN983132 JFC983132:JFJ983132 JOY983132:JPF983132 JYU983132:JZB983132 KIQ983132:KIX983132 KSM983132:KST983132 LCI983132:LCP983132 LME983132:LML983132 LWA983132:LWH983132 MFW983132:MGD983132 MPS983132:MPZ983132 MZO983132:MZV983132 NJK983132:NJR983132 NTG983132:NTN983132 ODC983132:ODJ983132 OMY983132:ONF983132 OWU983132:OXB983132 PGQ983132:PGX983132 PQM983132:PQT983132 QAI983132:QAP983132 QKE983132:QKL983132 QUA983132:QUH983132 RDW983132:RED983132 RNS983132:RNZ983132 RXO983132:RXV983132 SHK983132:SHR983132 SRG983132:SRN983132 TBC983132:TBJ983132 TKY983132:TLF983132 TUU983132:TVB983132 UEQ983132:UEX983132 UOM983132:UOT983132 UYI983132:UYP983132 VIE983132:VIL983132 VSA983132:VSH983132 WBW983132:WCD983132 WLS983132:WLZ983132 WVO983132:WVV983132" xr:uid="{00000000-0002-0000-0F00-000002000000}">
      <formula1>"駅施設,地上建物"</formula1>
    </dataValidation>
    <dataValidation type="list" allowBlank="1" showInputMessage="1" showErrorMessage="1" sqref="E89:E90 JA89:JA90 SW89:SW90 ACS89:ACS90 AMO89:AMO90 AWK89:AWK90 BGG89:BGG90 BQC89:BQC90 BZY89:BZY90 CJU89:CJU90 CTQ89:CTQ90 DDM89:DDM90 DNI89:DNI90 DXE89:DXE90 EHA89:EHA90 EQW89:EQW90 FAS89:FAS90 FKO89:FKO90 FUK89:FUK90 GEG89:GEG90 GOC89:GOC90 GXY89:GXY90 HHU89:HHU90 HRQ89:HRQ90 IBM89:IBM90 ILI89:ILI90 IVE89:IVE90 JFA89:JFA90 JOW89:JOW90 JYS89:JYS90 KIO89:KIO90 KSK89:KSK90 LCG89:LCG90 LMC89:LMC90 LVY89:LVY90 MFU89:MFU90 MPQ89:MPQ90 MZM89:MZM90 NJI89:NJI90 NTE89:NTE90 ODA89:ODA90 OMW89:OMW90 OWS89:OWS90 PGO89:PGO90 PQK89:PQK90 QAG89:QAG90 QKC89:QKC90 QTY89:QTY90 RDU89:RDU90 RNQ89:RNQ90 RXM89:RXM90 SHI89:SHI90 SRE89:SRE90 TBA89:TBA90 TKW89:TKW90 TUS89:TUS90 UEO89:UEO90 UOK89:UOK90 UYG89:UYG90 VIC89:VIC90 VRY89:VRY90 WBU89:WBU90 WLQ89:WLQ90 WVM89:WVM90 E65625:E65626 JA65625:JA65626 SW65625:SW65626 ACS65625:ACS65626 AMO65625:AMO65626 AWK65625:AWK65626 BGG65625:BGG65626 BQC65625:BQC65626 BZY65625:BZY65626 CJU65625:CJU65626 CTQ65625:CTQ65626 DDM65625:DDM65626 DNI65625:DNI65626 DXE65625:DXE65626 EHA65625:EHA65626 EQW65625:EQW65626 FAS65625:FAS65626 FKO65625:FKO65626 FUK65625:FUK65626 GEG65625:GEG65626 GOC65625:GOC65626 GXY65625:GXY65626 HHU65625:HHU65626 HRQ65625:HRQ65626 IBM65625:IBM65626 ILI65625:ILI65626 IVE65625:IVE65626 JFA65625:JFA65626 JOW65625:JOW65626 JYS65625:JYS65626 KIO65625:KIO65626 KSK65625:KSK65626 LCG65625:LCG65626 LMC65625:LMC65626 LVY65625:LVY65626 MFU65625:MFU65626 MPQ65625:MPQ65626 MZM65625:MZM65626 NJI65625:NJI65626 NTE65625:NTE65626 ODA65625:ODA65626 OMW65625:OMW65626 OWS65625:OWS65626 PGO65625:PGO65626 PQK65625:PQK65626 QAG65625:QAG65626 QKC65625:QKC65626 QTY65625:QTY65626 RDU65625:RDU65626 RNQ65625:RNQ65626 RXM65625:RXM65626 SHI65625:SHI65626 SRE65625:SRE65626 TBA65625:TBA65626 TKW65625:TKW65626 TUS65625:TUS65626 UEO65625:UEO65626 UOK65625:UOK65626 UYG65625:UYG65626 VIC65625:VIC65626 VRY65625:VRY65626 WBU65625:WBU65626 WLQ65625:WLQ65626 WVM65625:WVM65626 E131161:E131162 JA131161:JA131162 SW131161:SW131162 ACS131161:ACS131162 AMO131161:AMO131162 AWK131161:AWK131162 BGG131161:BGG131162 BQC131161:BQC131162 BZY131161:BZY131162 CJU131161:CJU131162 CTQ131161:CTQ131162 DDM131161:DDM131162 DNI131161:DNI131162 DXE131161:DXE131162 EHA131161:EHA131162 EQW131161:EQW131162 FAS131161:FAS131162 FKO131161:FKO131162 FUK131161:FUK131162 GEG131161:GEG131162 GOC131161:GOC131162 GXY131161:GXY131162 HHU131161:HHU131162 HRQ131161:HRQ131162 IBM131161:IBM131162 ILI131161:ILI131162 IVE131161:IVE131162 JFA131161:JFA131162 JOW131161:JOW131162 JYS131161:JYS131162 KIO131161:KIO131162 KSK131161:KSK131162 LCG131161:LCG131162 LMC131161:LMC131162 LVY131161:LVY131162 MFU131161:MFU131162 MPQ131161:MPQ131162 MZM131161:MZM131162 NJI131161:NJI131162 NTE131161:NTE131162 ODA131161:ODA131162 OMW131161:OMW131162 OWS131161:OWS131162 PGO131161:PGO131162 PQK131161:PQK131162 QAG131161:QAG131162 QKC131161:QKC131162 QTY131161:QTY131162 RDU131161:RDU131162 RNQ131161:RNQ131162 RXM131161:RXM131162 SHI131161:SHI131162 SRE131161:SRE131162 TBA131161:TBA131162 TKW131161:TKW131162 TUS131161:TUS131162 UEO131161:UEO131162 UOK131161:UOK131162 UYG131161:UYG131162 VIC131161:VIC131162 VRY131161:VRY131162 WBU131161:WBU131162 WLQ131161:WLQ131162 WVM131161:WVM131162 E196697:E196698 JA196697:JA196698 SW196697:SW196698 ACS196697:ACS196698 AMO196697:AMO196698 AWK196697:AWK196698 BGG196697:BGG196698 BQC196697:BQC196698 BZY196697:BZY196698 CJU196697:CJU196698 CTQ196697:CTQ196698 DDM196697:DDM196698 DNI196697:DNI196698 DXE196697:DXE196698 EHA196697:EHA196698 EQW196697:EQW196698 FAS196697:FAS196698 FKO196697:FKO196698 FUK196697:FUK196698 GEG196697:GEG196698 GOC196697:GOC196698 GXY196697:GXY196698 HHU196697:HHU196698 HRQ196697:HRQ196698 IBM196697:IBM196698 ILI196697:ILI196698 IVE196697:IVE196698 JFA196697:JFA196698 JOW196697:JOW196698 JYS196697:JYS196698 KIO196697:KIO196698 KSK196697:KSK196698 LCG196697:LCG196698 LMC196697:LMC196698 LVY196697:LVY196698 MFU196697:MFU196698 MPQ196697:MPQ196698 MZM196697:MZM196698 NJI196697:NJI196698 NTE196697:NTE196698 ODA196697:ODA196698 OMW196697:OMW196698 OWS196697:OWS196698 PGO196697:PGO196698 PQK196697:PQK196698 QAG196697:QAG196698 QKC196697:QKC196698 QTY196697:QTY196698 RDU196697:RDU196698 RNQ196697:RNQ196698 RXM196697:RXM196698 SHI196697:SHI196698 SRE196697:SRE196698 TBA196697:TBA196698 TKW196697:TKW196698 TUS196697:TUS196698 UEO196697:UEO196698 UOK196697:UOK196698 UYG196697:UYG196698 VIC196697:VIC196698 VRY196697:VRY196698 WBU196697:WBU196698 WLQ196697:WLQ196698 WVM196697:WVM196698 E262233:E262234 JA262233:JA262234 SW262233:SW262234 ACS262233:ACS262234 AMO262233:AMO262234 AWK262233:AWK262234 BGG262233:BGG262234 BQC262233:BQC262234 BZY262233:BZY262234 CJU262233:CJU262234 CTQ262233:CTQ262234 DDM262233:DDM262234 DNI262233:DNI262234 DXE262233:DXE262234 EHA262233:EHA262234 EQW262233:EQW262234 FAS262233:FAS262234 FKO262233:FKO262234 FUK262233:FUK262234 GEG262233:GEG262234 GOC262233:GOC262234 GXY262233:GXY262234 HHU262233:HHU262234 HRQ262233:HRQ262234 IBM262233:IBM262234 ILI262233:ILI262234 IVE262233:IVE262234 JFA262233:JFA262234 JOW262233:JOW262234 JYS262233:JYS262234 KIO262233:KIO262234 KSK262233:KSK262234 LCG262233:LCG262234 LMC262233:LMC262234 LVY262233:LVY262234 MFU262233:MFU262234 MPQ262233:MPQ262234 MZM262233:MZM262234 NJI262233:NJI262234 NTE262233:NTE262234 ODA262233:ODA262234 OMW262233:OMW262234 OWS262233:OWS262234 PGO262233:PGO262234 PQK262233:PQK262234 QAG262233:QAG262234 QKC262233:QKC262234 QTY262233:QTY262234 RDU262233:RDU262234 RNQ262233:RNQ262234 RXM262233:RXM262234 SHI262233:SHI262234 SRE262233:SRE262234 TBA262233:TBA262234 TKW262233:TKW262234 TUS262233:TUS262234 UEO262233:UEO262234 UOK262233:UOK262234 UYG262233:UYG262234 VIC262233:VIC262234 VRY262233:VRY262234 WBU262233:WBU262234 WLQ262233:WLQ262234 WVM262233:WVM262234 E327769:E327770 JA327769:JA327770 SW327769:SW327770 ACS327769:ACS327770 AMO327769:AMO327770 AWK327769:AWK327770 BGG327769:BGG327770 BQC327769:BQC327770 BZY327769:BZY327770 CJU327769:CJU327770 CTQ327769:CTQ327770 DDM327769:DDM327770 DNI327769:DNI327770 DXE327769:DXE327770 EHA327769:EHA327770 EQW327769:EQW327770 FAS327769:FAS327770 FKO327769:FKO327770 FUK327769:FUK327770 GEG327769:GEG327770 GOC327769:GOC327770 GXY327769:GXY327770 HHU327769:HHU327770 HRQ327769:HRQ327770 IBM327769:IBM327770 ILI327769:ILI327770 IVE327769:IVE327770 JFA327769:JFA327770 JOW327769:JOW327770 JYS327769:JYS327770 KIO327769:KIO327770 KSK327769:KSK327770 LCG327769:LCG327770 LMC327769:LMC327770 LVY327769:LVY327770 MFU327769:MFU327770 MPQ327769:MPQ327770 MZM327769:MZM327770 NJI327769:NJI327770 NTE327769:NTE327770 ODA327769:ODA327770 OMW327769:OMW327770 OWS327769:OWS327770 PGO327769:PGO327770 PQK327769:PQK327770 QAG327769:QAG327770 QKC327769:QKC327770 QTY327769:QTY327770 RDU327769:RDU327770 RNQ327769:RNQ327770 RXM327769:RXM327770 SHI327769:SHI327770 SRE327769:SRE327770 TBA327769:TBA327770 TKW327769:TKW327770 TUS327769:TUS327770 UEO327769:UEO327770 UOK327769:UOK327770 UYG327769:UYG327770 VIC327769:VIC327770 VRY327769:VRY327770 WBU327769:WBU327770 WLQ327769:WLQ327770 WVM327769:WVM327770 E393305:E393306 JA393305:JA393306 SW393305:SW393306 ACS393305:ACS393306 AMO393305:AMO393306 AWK393305:AWK393306 BGG393305:BGG393306 BQC393305:BQC393306 BZY393305:BZY393306 CJU393305:CJU393306 CTQ393305:CTQ393306 DDM393305:DDM393306 DNI393305:DNI393306 DXE393305:DXE393306 EHA393305:EHA393306 EQW393305:EQW393306 FAS393305:FAS393306 FKO393305:FKO393306 FUK393305:FUK393306 GEG393305:GEG393306 GOC393305:GOC393306 GXY393305:GXY393306 HHU393305:HHU393306 HRQ393305:HRQ393306 IBM393305:IBM393306 ILI393305:ILI393306 IVE393305:IVE393306 JFA393305:JFA393306 JOW393305:JOW393306 JYS393305:JYS393306 KIO393305:KIO393306 KSK393305:KSK393306 LCG393305:LCG393306 LMC393305:LMC393306 LVY393305:LVY393306 MFU393305:MFU393306 MPQ393305:MPQ393306 MZM393305:MZM393306 NJI393305:NJI393306 NTE393305:NTE393306 ODA393305:ODA393306 OMW393305:OMW393306 OWS393305:OWS393306 PGO393305:PGO393306 PQK393305:PQK393306 QAG393305:QAG393306 QKC393305:QKC393306 QTY393305:QTY393306 RDU393305:RDU393306 RNQ393305:RNQ393306 RXM393305:RXM393306 SHI393305:SHI393306 SRE393305:SRE393306 TBA393305:TBA393306 TKW393305:TKW393306 TUS393305:TUS393306 UEO393305:UEO393306 UOK393305:UOK393306 UYG393305:UYG393306 VIC393305:VIC393306 VRY393305:VRY393306 WBU393305:WBU393306 WLQ393305:WLQ393306 WVM393305:WVM393306 E458841:E458842 JA458841:JA458842 SW458841:SW458842 ACS458841:ACS458842 AMO458841:AMO458842 AWK458841:AWK458842 BGG458841:BGG458842 BQC458841:BQC458842 BZY458841:BZY458842 CJU458841:CJU458842 CTQ458841:CTQ458842 DDM458841:DDM458842 DNI458841:DNI458842 DXE458841:DXE458842 EHA458841:EHA458842 EQW458841:EQW458842 FAS458841:FAS458842 FKO458841:FKO458842 FUK458841:FUK458842 GEG458841:GEG458842 GOC458841:GOC458842 GXY458841:GXY458842 HHU458841:HHU458842 HRQ458841:HRQ458842 IBM458841:IBM458842 ILI458841:ILI458842 IVE458841:IVE458842 JFA458841:JFA458842 JOW458841:JOW458842 JYS458841:JYS458842 KIO458841:KIO458842 KSK458841:KSK458842 LCG458841:LCG458842 LMC458841:LMC458842 LVY458841:LVY458842 MFU458841:MFU458842 MPQ458841:MPQ458842 MZM458841:MZM458842 NJI458841:NJI458842 NTE458841:NTE458842 ODA458841:ODA458842 OMW458841:OMW458842 OWS458841:OWS458842 PGO458841:PGO458842 PQK458841:PQK458842 QAG458841:QAG458842 QKC458841:QKC458842 QTY458841:QTY458842 RDU458841:RDU458842 RNQ458841:RNQ458842 RXM458841:RXM458842 SHI458841:SHI458842 SRE458841:SRE458842 TBA458841:TBA458842 TKW458841:TKW458842 TUS458841:TUS458842 UEO458841:UEO458842 UOK458841:UOK458842 UYG458841:UYG458842 VIC458841:VIC458842 VRY458841:VRY458842 WBU458841:WBU458842 WLQ458841:WLQ458842 WVM458841:WVM458842 E524377:E524378 JA524377:JA524378 SW524377:SW524378 ACS524377:ACS524378 AMO524377:AMO524378 AWK524377:AWK524378 BGG524377:BGG524378 BQC524377:BQC524378 BZY524377:BZY524378 CJU524377:CJU524378 CTQ524377:CTQ524378 DDM524377:DDM524378 DNI524377:DNI524378 DXE524377:DXE524378 EHA524377:EHA524378 EQW524377:EQW524378 FAS524377:FAS524378 FKO524377:FKO524378 FUK524377:FUK524378 GEG524377:GEG524378 GOC524377:GOC524378 GXY524377:GXY524378 HHU524377:HHU524378 HRQ524377:HRQ524378 IBM524377:IBM524378 ILI524377:ILI524378 IVE524377:IVE524378 JFA524377:JFA524378 JOW524377:JOW524378 JYS524377:JYS524378 KIO524377:KIO524378 KSK524377:KSK524378 LCG524377:LCG524378 LMC524377:LMC524378 LVY524377:LVY524378 MFU524377:MFU524378 MPQ524377:MPQ524378 MZM524377:MZM524378 NJI524377:NJI524378 NTE524377:NTE524378 ODA524377:ODA524378 OMW524377:OMW524378 OWS524377:OWS524378 PGO524377:PGO524378 PQK524377:PQK524378 QAG524377:QAG524378 QKC524377:QKC524378 QTY524377:QTY524378 RDU524377:RDU524378 RNQ524377:RNQ524378 RXM524377:RXM524378 SHI524377:SHI524378 SRE524377:SRE524378 TBA524377:TBA524378 TKW524377:TKW524378 TUS524377:TUS524378 UEO524377:UEO524378 UOK524377:UOK524378 UYG524377:UYG524378 VIC524377:VIC524378 VRY524377:VRY524378 WBU524377:WBU524378 WLQ524377:WLQ524378 WVM524377:WVM524378 E589913:E589914 JA589913:JA589914 SW589913:SW589914 ACS589913:ACS589914 AMO589913:AMO589914 AWK589913:AWK589914 BGG589913:BGG589914 BQC589913:BQC589914 BZY589913:BZY589914 CJU589913:CJU589914 CTQ589913:CTQ589914 DDM589913:DDM589914 DNI589913:DNI589914 DXE589913:DXE589914 EHA589913:EHA589914 EQW589913:EQW589914 FAS589913:FAS589914 FKO589913:FKO589914 FUK589913:FUK589914 GEG589913:GEG589914 GOC589913:GOC589914 GXY589913:GXY589914 HHU589913:HHU589914 HRQ589913:HRQ589914 IBM589913:IBM589914 ILI589913:ILI589914 IVE589913:IVE589914 JFA589913:JFA589914 JOW589913:JOW589914 JYS589913:JYS589914 KIO589913:KIO589914 KSK589913:KSK589914 LCG589913:LCG589914 LMC589913:LMC589914 LVY589913:LVY589914 MFU589913:MFU589914 MPQ589913:MPQ589914 MZM589913:MZM589914 NJI589913:NJI589914 NTE589913:NTE589914 ODA589913:ODA589914 OMW589913:OMW589914 OWS589913:OWS589914 PGO589913:PGO589914 PQK589913:PQK589914 QAG589913:QAG589914 QKC589913:QKC589914 QTY589913:QTY589914 RDU589913:RDU589914 RNQ589913:RNQ589914 RXM589913:RXM589914 SHI589913:SHI589914 SRE589913:SRE589914 TBA589913:TBA589914 TKW589913:TKW589914 TUS589913:TUS589914 UEO589913:UEO589914 UOK589913:UOK589914 UYG589913:UYG589914 VIC589913:VIC589914 VRY589913:VRY589914 WBU589913:WBU589914 WLQ589913:WLQ589914 WVM589913:WVM589914 E655449:E655450 JA655449:JA655450 SW655449:SW655450 ACS655449:ACS655450 AMO655449:AMO655450 AWK655449:AWK655450 BGG655449:BGG655450 BQC655449:BQC655450 BZY655449:BZY655450 CJU655449:CJU655450 CTQ655449:CTQ655450 DDM655449:DDM655450 DNI655449:DNI655450 DXE655449:DXE655450 EHA655449:EHA655450 EQW655449:EQW655450 FAS655449:FAS655450 FKO655449:FKO655450 FUK655449:FUK655450 GEG655449:GEG655450 GOC655449:GOC655450 GXY655449:GXY655450 HHU655449:HHU655450 HRQ655449:HRQ655450 IBM655449:IBM655450 ILI655449:ILI655450 IVE655449:IVE655450 JFA655449:JFA655450 JOW655449:JOW655450 JYS655449:JYS655450 KIO655449:KIO655450 KSK655449:KSK655450 LCG655449:LCG655450 LMC655449:LMC655450 LVY655449:LVY655450 MFU655449:MFU655450 MPQ655449:MPQ655450 MZM655449:MZM655450 NJI655449:NJI655450 NTE655449:NTE655450 ODA655449:ODA655450 OMW655449:OMW655450 OWS655449:OWS655450 PGO655449:PGO655450 PQK655449:PQK655450 QAG655449:QAG655450 QKC655449:QKC655450 QTY655449:QTY655450 RDU655449:RDU655450 RNQ655449:RNQ655450 RXM655449:RXM655450 SHI655449:SHI655450 SRE655449:SRE655450 TBA655449:TBA655450 TKW655449:TKW655450 TUS655449:TUS655450 UEO655449:UEO655450 UOK655449:UOK655450 UYG655449:UYG655450 VIC655449:VIC655450 VRY655449:VRY655450 WBU655449:WBU655450 WLQ655449:WLQ655450 WVM655449:WVM655450 E720985:E720986 JA720985:JA720986 SW720985:SW720986 ACS720985:ACS720986 AMO720985:AMO720986 AWK720985:AWK720986 BGG720985:BGG720986 BQC720985:BQC720986 BZY720985:BZY720986 CJU720985:CJU720986 CTQ720985:CTQ720986 DDM720985:DDM720986 DNI720985:DNI720986 DXE720985:DXE720986 EHA720985:EHA720986 EQW720985:EQW720986 FAS720985:FAS720986 FKO720985:FKO720986 FUK720985:FUK720986 GEG720985:GEG720986 GOC720985:GOC720986 GXY720985:GXY720986 HHU720985:HHU720986 HRQ720985:HRQ720986 IBM720985:IBM720986 ILI720985:ILI720986 IVE720985:IVE720986 JFA720985:JFA720986 JOW720985:JOW720986 JYS720985:JYS720986 KIO720985:KIO720986 KSK720985:KSK720986 LCG720985:LCG720986 LMC720985:LMC720986 LVY720985:LVY720986 MFU720985:MFU720986 MPQ720985:MPQ720986 MZM720985:MZM720986 NJI720985:NJI720986 NTE720985:NTE720986 ODA720985:ODA720986 OMW720985:OMW720986 OWS720985:OWS720986 PGO720985:PGO720986 PQK720985:PQK720986 QAG720985:QAG720986 QKC720985:QKC720986 QTY720985:QTY720986 RDU720985:RDU720986 RNQ720985:RNQ720986 RXM720985:RXM720986 SHI720985:SHI720986 SRE720985:SRE720986 TBA720985:TBA720986 TKW720985:TKW720986 TUS720985:TUS720986 UEO720985:UEO720986 UOK720985:UOK720986 UYG720985:UYG720986 VIC720985:VIC720986 VRY720985:VRY720986 WBU720985:WBU720986 WLQ720985:WLQ720986 WVM720985:WVM720986 E786521:E786522 JA786521:JA786522 SW786521:SW786522 ACS786521:ACS786522 AMO786521:AMO786522 AWK786521:AWK786522 BGG786521:BGG786522 BQC786521:BQC786522 BZY786521:BZY786522 CJU786521:CJU786522 CTQ786521:CTQ786522 DDM786521:DDM786522 DNI786521:DNI786522 DXE786521:DXE786522 EHA786521:EHA786522 EQW786521:EQW786522 FAS786521:FAS786522 FKO786521:FKO786522 FUK786521:FUK786522 GEG786521:GEG786522 GOC786521:GOC786522 GXY786521:GXY786522 HHU786521:HHU786522 HRQ786521:HRQ786522 IBM786521:IBM786522 ILI786521:ILI786522 IVE786521:IVE786522 JFA786521:JFA786522 JOW786521:JOW786522 JYS786521:JYS786522 KIO786521:KIO786522 KSK786521:KSK786522 LCG786521:LCG786522 LMC786521:LMC786522 LVY786521:LVY786522 MFU786521:MFU786522 MPQ786521:MPQ786522 MZM786521:MZM786522 NJI786521:NJI786522 NTE786521:NTE786522 ODA786521:ODA786522 OMW786521:OMW786522 OWS786521:OWS786522 PGO786521:PGO786522 PQK786521:PQK786522 QAG786521:QAG786522 QKC786521:QKC786522 QTY786521:QTY786522 RDU786521:RDU786522 RNQ786521:RNQ786522 RXM786521:RXM786522 SHI786521:SHI786522 SRE786521:SRE786522 TBA786521:TBA786522 TKW786521:TKW786522 TUS786521:TUS786522 UEO786521:UEO786522 UOK786521:UOK786522 UYG786521:UYG786522 VIC786521:VIC786522 VRY786521:VRY786522 WBU786521:WBU786522 WLQ786521:WLQ786522 WVM786521:WVM786522 E852057:E852058 JA852057:JA852058 SW852057:SW852058 ACS852057:ACS852058 AMO852057:AMO852058 AWK852057:AWK852058 BGG852057:BGG852058 BQC852057:BQC852058 BZY852057:BZY852058 CJU852057:CJU852058 CTQ852057:CTQ852058 DDM852057:DDM852058 DNI852057:DNI852058 DXE852057:DXE852058 EHA852057:EHA852058 EQW852057:EQW852058 FAS852057:FAS852058 FKO852057:FKO852058 FUK852057:FUK852058 GEG852057:GEG852058 GOC852057:GOC852058 GXY852057:GXY852058 HHU852057:HHU852058 HRQ852057:HRQ852058 IBM852057:IBM852058 ILI852057:ILI852058 IVE852057:IVE852058 JFA852057:JFA852058 JOW852057:JOW852058 JYS852057:JYS852058 KIO852057:KIO852058 KSK852057:KSK852058 LCG852057:LCG852058 LMC852057:LMC852058 LVY852057:LVY852058 MFU852057:MFU852058 MPQ852057:MPQ852058 MZM852057:MZM852058 NJI852057:NJI852058 NTE852057:NTE852058 ODA852057:ODA852058 OMW852057:OMW852058 OWS852057:OWS852058 PGO852057:PGO852058 PQK852057:PQK852058 QAG852057:QAG852058 QKC852057:QKC852058 QTY852057:QTY852058 RDU852057:RDU852058 RNQ852057:RNQ852058 RXM852057:RXM852058 SHI852057:SHI852058 SRE852057:SRE852058 TBA852057:TBA852058 TKW852057:TKW852058 TUS852057:TUS852058 UEO852057:UEO852058 UOK852057:UOK852058 UYG852057:UYG852058 VIC852057:VIC852058 VRY852057:VRY852058 WBU852057:WBU852058 WLQ852057:WLQ852058 WVM852057:WVM852058 E917593:E917594 JA917593:JA917594 SW917593:SW917594 ACS917593:ACS917594 AMO917593:AMO917594 AWK917593:AWK917594 BGG917593:BGG917594 BQC917593:BQC917594 BZY917593:BZY917594 CJU917593:CJU917594 CTQ917593:CTQ917594 DDM917593:DDM917594 DNI917593:DNI917594 DXE917593:DXE917594 EHA917593:EHA917594 EQW917593:EQW917594 FAS917593:FAS917594 FKO917593:FKO917594 FUK917593:FUK917594 GEG917593:GEG917594 GOC917593:GOC917594 GXY917593:GXY917594 HHU917593:HHU917594 HRQ917593:HRQ917594 IBM917593:IBM917594 ILI917593:ILI917594 IVE917593:IVE917594 JFA917593:JFA917594 JOW917593:JOW917594 JYS917593:JYS917594 KIO917593:KIO917594 KSK917593:KSK917594 LCG917593:LCG917594 LMC917593:LMC917594 LVY917593:LVY917594 MFU917593:MFU917594 MPQ917593:MPQ917594 MZM917593:MZM917594 NJI917593:NJI917594 NTE917593:NTE917594 ODA917593:ODA917594 OMW917593:OMW917594 OWS917593:OWS917594 PGO917593:PGO917594 PQK917593:PQK917594 QAG917593:QAG917594 QKC917593:QKC917594 QTY917593:QTY917594 RDU917593:RDU917594 RNQ917593:RNQ917594 RXM917593:RXM917594 SHI917593:SHI917594 SRE917593:SRE917594 TBA917593:TBA917594 TKW917593:TKW917594 TUS917593:TUS917594 UEO917593:UEO917594 UOK917593:UOK917594 UYG917593:UYG917594 VIC917593:VIC917594 VRY917593:VRY917594 WBU917593:WBU917594 WLQ917593:WLQ917594 WVM917593:WVM917594 E983129:E983130 JA983129:JA983130 SW983129:SW983130 ACS983129:ACS983130 AMO983129:AMO983130 AWK983129:AWK983130 BGG983129:BGG983130 BQC983129:BQC983130 BZY983129:BZY983130 CJU983129:CJU983130 CTQ983129:CTQ983130 DDM983129:DDM983130 DNI983129:DNI983130 DXE983129:DXE983130 EHA983129:EHA983130 EQW983129:EQW983130 FAS983129:FAS983130 FKO983129:FKO983130 FUK983129:FUK983130 GEG983129:GEG983130 GOC983129:GOC983130 GXY983129:GXY983130 HHU983129:HHU983130 HRQ983129:HRQ983130 IBM983129:IBM983130 ILI983129:ILI983130 IVE983129:IVE983130 JFA983129:JFA983130 JOW983129:JOW983130 JYS983129:JYS983130 KIO983129:KIO983130 KSK983129:KSK983130 LCG983129:LCG983130 LMC983129:LMC983130 LVY983129:LVY983130 MFU983129:MFU983130 MPQ983129:MPQ983130 MZM983129:MZM983130 NJI983129:NJI983130 NTE983129:NTE983130 ODA983129:ODA983130 OMW983129:OMW983130 OWS983129:OWS983130 PGO983129:PGO983130 PQK983129:PQK983130 QAG983129:QAG983130 QKC983129:QKC983130 QTY983129:QTY983130 RDU983129:RDU983130 RNQ983129:RNQ983130 RXM983129:RXM983130 SHI983129:SHI983130 SRE983129:SRE983130 TBA983129:TBA983130 TKW983129:TKW983130 TUS983129:TUS983130 UEO983129:UEO983130 UOK983129:UOK983130 UYG983129:UYG983130 VIC983129:VIC983130 VRY983129:VRY983130 WBU983129:WBU983130 WLQ983129:WLQ983130 WVM983129:WVM983130 E302:E303 JA302:JA303 SW302:SW303 ACS302:ACS303 AMO302:AMO303 AWK302:AWK303 BGG302:BGG303 BQC302:BQC303 BZY302:BZY303 CJU302:CJU303 CTQ302:CTQ303 DDM302:DDM303 DNI302:DNI303 DXE302:DXE303 EHA302:EHA303 EQW302:EQW303 FAS302:FAS303 FKO302:FKO303 FUK302:FUK303 GEG302:GEG303 GOC302:GOC303 GXY302:GXY303 HHU302:HHU303 HRQ302:HRQ303 IBM302:IBM303 ILI302:ILI303 IVE302:IVE303 JFA302:JFA303 JOW302:JOW303 JYS302:JYS303 KIO302:KIO303 KSK302:KSK303 LCG302:LCG303 LMC302:LMC303 LVY302:LVY303 MFU302:MFU303 MPQ302:MPQ303 MZM302:MZM303 NJI302:NJI303 NTE302:NTE303 ODA302:ODA303 OMW302:OMW303 OWS302:OWS303 PGO302:PGO303 PQK302:PQK303 QAG302:QAG303 QKC302:QKC303 QTY302:QTY303 RDU302:RDU303 RNQ302:RNQ303 RXM302:RXM303 SHI302:SHI303 SRE302:SRE303 TBA302:TBA303 TKW302:TKW303 TUS302:TUS303 UEO302:UEO303 UOK302:UOK303 UYG302:UYG303 VIC302:VIC303 VRY302:VRY303 WBU302:WBU303 WLQ302:WLQ303 WVM302:WVM303 E65838:E65839 JA65838:JA65839 SW65838:SW65839 ACS65838:ACS65839 AMO65838:AMO65839 AWK65838:AWK65839 BGG65838:BGG65839 BQC65838:BQC65839 BZY65838:BZY65839 CJU65838:CJU65839 CTQ65838:CTQ65839 DDM65838:DDM65839 DNI65838:DNI65839 DXE65838:DXE65839 EHA65838:EHA65839 EQW65838:EQW65839 FAS65838:FAS65839 FKO65838:FKO65839 FUK65838:FUK65839 GEG65838:GEG65839 GOC65838:GOC65839 GXY65838:GXY65839 HHU65838:HHU65839 HRQ65838:HRQ65839 IBM65838:IBM65839 ILI65838:ILI65839 IVE65838:IVE65839 JFA65838:JFA65839 JOW65838:JOW65839 JYS65838:JYS65839 KIO65838:KIO65839 KSK65838:KSK65839 LCG65838:LCG65839 LMC65838:LMC65839 LVY65838:LVY65839 MFU65838:MFU65839 MPQ65838:MPQ65839 MZM65838:MZM65839 NJI65838:NJI65839 NTE65838:NTE65839 ODA65838:ODA65839 OMW65838:OMW65839 OWS65838:OWS65839 PGO65838:PGO65839 PQK65838:PQK65839 QAG65838:QAG65839 QKC65838:QKC65839 QTY65838:QTY65839 RDU65838:RDU65839 RNQ65838:RNQ65839 RXM65838:RXM65839 SHI65838:SHI65839 SRE65838:SRE65839 TBA65838:TBA65839 TKW65838:TKW65839 TUS65838:TUS65839 UEO65838:UEO65839 UOK65838:UOK65839 UYG65838:UYG65839 VIC65838:VIC65839 VRY65838:VRY65839 WBU65838:WBU65839 WLQ65838:WLQ65839 WVM65838:WVM65839 E131374:E131375 JA131374:JA131375 SW131374:SW131375 ACS131374:ACS131375 AMO131374:AMO131375 AWK131374:AWK131375 BGG131374:BGG131375 BQC131374:BQC131375 BZY131374:BZY131375 CJU131374:CJU131375 CTQ131374:CTQ131375 DDM131374:DDM131375 DNI131374:DNI131375 DXE131374:DXE131375 EHA131374:EHA131375 EQW131374:EQW131375 FAS131374:FAS131375 FKO131374:FKO131375 FUK131374:FUK131375 GEG131374:GEG131375 GOC131374:GOC131375 GXY131374:GXY131375 HHU131374:HHU131375 HRQ131374:HRQ131375 IBM131374:IBM131375 ILI131374:ILI131375 IVE131374:IVE131375 JFA131374:JFA131375 JOW131374:JOW131375 JYS131374:JYS131375 KIO131374:KIO131375 KSK131374:KSK131375 LCG131374:LCG131375 LMC131374:LMC131375 LVY131374:LVY131375 MFU131374:MFU131375 MPQ131374:MPQ131375 MZM131374:MZM131375 NJI131374:NJI131375 NTE131374:NTE131375 ODA131374:ODA131375 OMW131374:OMW131375 OWS131374:OWS131375 PGO131374:PGO131375 PQK131374:PQK131375 QAG131374:QAG131375 QKC131374:QKC131375 QTY131374:QTY131375 RDU131374:RDU131375 RNQ131374:RNQ131375 RXM131374:RXM131375 SHI131374:SHI131375 SRE131374:SRE131375 TBA131374:TBA131375 TKW131374:TKW131375 TUS131374:TUS131375 UEO131374:UEO131375 UOK131374:UOK131375 UYG131374:UYG131375 VIC131374:VIC131375 VRY131374:VRY131375 WBU131374:WBU131375 WLQ131374:WLQ131375 WVM131374:WVM131375 E196910:E196911 JA196910:JA196911 SW196910:SW196911 ACS196910:ACS196911 AMO196910:AMO196911 AWK196910:AWK196911 BGG196910:BGG196911 BQC196910:BQC196911 BZY196910:BZY196911 CJU196910:CJU196911 CTQ196910:CTQ196911 DDM196910:DDM196911 DNI196910:DNI196911 DXE196910:DXE196911 EHA196910:EHA196911 EQW196910:EQW196911 FAS196910:FAS196911 FKO196910:FKO196911 FUK196910:FUK196911 GEG196910:GEG196911 GOC196910:GOC196911 GXY196910:GXY196911 HHU196910:HHU196911 HRQ196910:HRQ196911 IBM196910:IBM196911 ILI196910:ILI196911 IVE196910:IVE196911 JFA196910:JFA196911 JOW196910:JOW196911 JYS196910:JYS196911 KIO196910:KIO196911 KSK196910:KSK196911 LCG196910:LCG196911 LMC196910:LMC196911 LVY196910:LVY196911 MFU196910:MFU196911 MPQ196910:MPQ196911 MZM196910:MZM196911 NJI196910:NJI196911 NTE196910:NTE196911 ODA196910:ODA196911 OMW196910:OMW196911 OWS196910:OWS196911 PGO196910:PGO196911 PQK196910:PQK196911 QAG196910:QAG196911 QKC196910:QKC196911 QTY196910:QTY196911 RDU196910:RDU196911 RNQ196910:RNQ196911 RXM196910:RXM196911 SHI196910:SHI196911 SRE196910:SRE196911 TBA196910:TBA196911 TKW196910:TKW196911 TUS196910:TUS196911 UEO196910:UEO196911 UOK196910:UOK196911 UYG196910:UYG196911 VIC196910:VIC196911 VRY196910:VRY196911 WBU196910:WBU196911 WLQ196910:WLQ196911 WVM196910:WVM196911 E262446:E262447 JA262446:JA262447 SW262446:SW262447 ACS262446:ACS262447 AMO262446:AMO262447 AWK262446:AWK262447 BGG262446:BGG262447 BQC262446:BQC262447 BZY262446:BZY262447 CJU262446:CJU262447 CTQ262446:CTQ262447 DDM262446:DDM262447 DNI262446:DNI262447 DXE262446:DXE262447 EHA262446:EHA262447 EQW262446:EQW262447 FAS262446:FAS262447 FKO262446:FKO262447 FUK262446:FUK262447 GEG262446:GEG262447 GOC262446:GOC262447 GXY262446:GXY262447 HHU262446:HHU262447 HRQ262446:HRQ262447 IBM262446:IBM262447 ILI262446:ILI262447 IVE262446:IVE262447 JFA262446:JFA262447 JOW262446:JOW262447 JYS262446:JYS262447 KIO262446:KIO262447 KSK262446:KSK262447 LCG262446:LCG262447 LMC262446:LMC262447 LVY262446:LVY262447 MFU262446:MFU262447 MPQ262446:MPQ262447 MZM262446:MZM262447 NJI262446:NJI262447 NTE262446:NTE262447 ODA262446:ODA262447 OMW262446:OMW262447 OWS262446:OWS262447 PGO262446:PGO262447 PQK262446:PQK262447 QAG262446:QAG262447 QKC262446:QKC262447 QTY262446:QTY262447 RDU262446:RDU262447 RNQ262446:RNQ262447 RXM262446:RXM262447 SHI262446:SHI262447 SRE262446:SRE262447 TBA262446:TBA262447 TKW262446:TKW262447 TUS262446:TUS262447 UEO262446:UEO262447 UOK262446:UOK262447 UYG262446:UYG262447 VIC262446:VIC262447 VRY262446:VRY262447 WBU262446:WBU262447 WLQ262446:WLQ262447 WVM262446:WVM262447 E327982:E327983 JA327982:JA327983 SW327982:SW327983 ACS327982:ACS327983 AMO327982:AMO327983 AWK327982:AWK327983 BGG327982:BGG327983 BQC327982:BQC327983 BZY327982:BZY327983 CJU327982:CJU327983 CTQ327982:CTQ327983 DDM327982:DDM327983 DNI327982:DNI327983 DXE327982:DXE327983 EHA327982:EHA327983 EQW327982:EQW327983 FAS327982:FAS327983 FKO327982:FKO327983 FUK327982:FUK327983 GEG327982:GEG327983 GOC327982:GOC327983 GXY327982:GXY327983 HHU327982:HHU327983 HRQ327982:HRQ327983 IBM327982:IBM327983 ILI327982:ILI327983 IVE327982:IVE327983 JFA327982:JFA327983 JOW327982:JOW327983 JYS327982:JYS327983 KIO327982:KIO327983 KSK327982:KSK327983 LCG327982:LCG327983 LMC327982:LMC327983 LVY327982:LVY327983 MFU327982:MFU327983 MPQ327982:MPQ327983 MZM327982:MZM327983 NJI327982:NJI327983 NTE327982:NTE327983 ODA327982:ODA327983 OMW327982:OMW327983 OWS327982:OWS327983 PGO327982:PGO327983 PQK327982:PQK327983 QAG327982:QAG327983 QKC327982:QKC327983 QTY327982:QTY327983 RDU327982:RDU327983 RNQ327982:RNQ327983 RXM327982:RXM327983 SHI327982:SHI327983 SRE327982:SRE327983 TBA327982:TBA327983 TKW327982:TKW327983 TUS327982:TUS327983 UEO327982:UEO327983 UOK327982:UOK327983 UYG327982:UYG327983 VIC327982:VIC327983 VRY327982:VRY327983 WBU327982:WBU327983 WLQ327982:WLQ327983 WVM327982:WVM327983 E393518:E393519 JA393518:JA393519 SW393518:SW393519 ACS393518:ACS393519 AMO393518:AMO393519 AWK393518:AWK393519 BGG393518:BGG393519 BQC393518:BQC393519 BZY393518:BZY393519 CJU393518:CJU393519 CTQ393518:CTQ393519 DDM393518:DDM393519 DNI393518:DNI393519 DXE393518:DXE393519 EHA393518:EHA393519 EQW393518:EQW393519 FAS393518:FAS393519 FKO393518:FKO393519 FUK393518:FUK393519 GEG393518:GEG393519 GOC393518:GOC393519 GXY393518:GXY393519 HHU393518:HHU393519 HRQ393518:HRQ393519 IBM393518:IBM393519 ILI393518:ILI393519 IVE393518:IVE393519 JFA393518:JFA393519 JOW393518:JOW393519 JYS393518:JYS393519 KIO393518:KIO393519 KSK393518:KSK393519 LCG393518:LCG393519 LMC393518:LMC393519 LVY393518:LVY393519 MFU393518:MFU393519 MPQ393518:MPQ393519 MZM393518:MZM393519 NJI393518:NJI393519 NTE393518:NTE393519 ODA393518:ODA393519 OMW393518:OMW393519 OWS393518:OWS393519 PGO393518:PGO393519 PQK393518:PQK393519 QAG393518:QAG393519 QKC393518:QKC393519 QTY393518:QTY393519 RDU393518:RDU393519 RNQ393518:RNQ393519 RXM393518:RXM393519 SHI393518:SHI393519 SRE393518:SRE393519 TBA393518:TBA393519 TKW393518:TKW393519 TUS393518:TUS393519 UEO393518:UEO393519 UOK393518:UOK393519 UYG393518:UYG393519 VIC393518:VIC393519 VRY393518:VRY393519 WBU393518:WBU393519 WLQ393518:WLQ393519 WVM393518:WVM393519 E459054:E459055 JA459054:JA459055 SW459054:SW459055 ACS459054:ACS459055 AMO459054:AMO459055 AWK459054:AWK459055 BGG459054:BGG459055 BQC459054:BQC459055 BZY459054:BZY459055 CJU459054:CJU459055 CTQ459054:CTQ459055 DDM459054:DDM459055 DNI459054:DNI459055 DXE459054:DXE459055 EHA459054:EHA459055 EQW459054:EQW459055 FAS459054:FAS459055 FKO459054:FKO459055 FUK459054:FUK459055 GEG459054:GEG459055 GOC459054:GOC459055 GXY459054:GXY459055 HHU459054:HHU459055 HRQ459054:HRQ459055 IBM459054:IBM459055 ILI459054:ILI459055 IVE459054:IVE459055 JFA459054:JFA459055 JOW459054:JOW459055 JYS459054:JYS459055 KIO459054:KIO459055 KSK459054:KSK459055 LCG459054:LCG459055 LMC459054:LMC459055 LVY459054:LVY459055 MFU459054:MFU459055 MPQ459054:MPQ459055 MZM459054:MZM459055 NJI459054:NJI459055 NTE459054:NTE459055 ODA459054:ODA459055 OMW459054:OMW459055 OWS459054:OWS459055 PGO459054:PGO459055 PQK459054:PQK459055 QAG459054:QAG459055 QKC459054:QKC459055 QTY459054:QTY459055 RDU459054:RDU459055 RNQ459054:RNQ459055 RXM459054:RXM459055 SHI459054:SHI459055 SRE459054:SRE459055 TBA459054:TBA459055 TKW459054:TKW459055 TUS459054:TUS459055 UEO459054:UEO459055 UOK459054:UOK459055 UYG459054:UYG459055 VIC459054:VIC459055 VRY459054:VRY459055 WBU459054:WBU459055 WLQ459054:WLQ459055 WVM459054:WVM459055 E524590:E524591 JA524590:JA524591 SW524590:SW524591 ACS524590:ACS524591 AMO524590:AMO524591 AWK524590:AWK524591 BGG524590:BGG524591 BQC524590:BQC524591 BZY524590:BZY524591 CJU524590:CJU524591 CTQ524590:CTQ524591 DDM524590:DDM524591 DNI524590:DNI524591 DXE524590:DXE524591 EHA524590:EHA524591 EQW524590:EQW524591 FAS524590:FAS524591 FKO524590:FKO524591 FUK524590:FUK524591 GEG524590:GEG524591 GOC524590:GOC524591 GXY524590:GXY524591 HHU524590:HHU524591 HRQ524590:HRQ524591 IBM524590:IBM524591 ILI524590:ILI524591 IVE524590:IVE524591 JFA524590:JFA524591 JOW524590:JOW524591 JYS524590:JYS524591 KIO524590:KIO524591 KSK524590:KSK524591 LCG524590:LCG524591 LMC524590:LMC524591 LVY524590:LVY524591 MFU524590:MFU524591 MPQ524590:MPQ524591 MZM524590:MZM524591 NJI524590:NJI524591 NTE524590:NTE524591 ODA524590:ODA524591 OMW524590:OMW524591 OWS524590:OWS524591 PGO524590:PGO524591 PQK524590:PQK524591 QAG524590:QAG524591 QKC524590:QKC524591 QTY524590:QTY524591 RDU524590:RDU524591 RNQ524590:RNQ524591 RXM524590:RXM524591 SHI524590:SHI524591 SRE524590:SRE524591 TBA524590:TBA524591 TKW524590:TKW524591 TUS524590:TUS524591 UEO524590:UEO524591 UOK524590:UOK524591 UYG524590:UYG524591 VIC524590:VIC524591 VRY524590:VRY524591 WBU524590:WBU524591 WLQ524590:WLQ524591 WVM524590:WVM524591 E590126:E590127 JA590126:JA590127 SW590126:SW590127 ACS590126:ACS590127 AMO590126:AMO590127 AWK590126:AWK590127 BGG590126:BGG590127 BQC590126:BQC590127 BZY590126:BZY590127 CJU590126:CJU590127 CTQ590126:CTQ590127 DDM590126:DDM590127 DNI590126:DNI590127 DXE590126:DXE590127 EHA590126:EHA590127 EQW590126:EQW590127 FAS590126:FAS590127 FKO590126:FKO590127 FUK590126:FUK590127 GEG590126:GEG590127 GOC590126:GOC590127 GXY590126:GXY590127 HHU590126:HHU590127 HRQ590126:HRQ590127 IBM590126:IBM590127 ILI590126:ILI590127 IVE590126:IVE590127 JFA590126:JFA590127 JOW590126:JOW590127 JYS590126:JYS590127 KIO590126:KIO590127 KSK590126:KSK590127 LCG590126:LCG590127 LMC590126:LMC590127 LVY590126:LVY590127 MFU590126:MFU590127 MPQ590126:MPQ590127 MZM590126:MZM590127 NJI590126:NJI590127 NTE590126:NTE590127 ODA590126:ODA590127 OMW590126:OMW590127 OWS590126:OWS590127 PGO590126:PGO590127 PQK590126:PQK590127 QAG590126:QAG590127 QKC590126:QKC590127 QTY590126:QTY590127 RDU590126:RDU590127 RNQ590126:RNQ590127 RXM590126:RXM590127 SHI590126:SHI590127 SRE590126:SRE590127 TBA590126:TBA590127 TKW590126:TKW590127 TUS590126:TUS590127 UEO590126:UEO590127 UOK590126:UOK590127 UYG590126:UYG590127 VIC590126:VIC590127 VRY590126:VRY590127 WBU590126:WBU590127 WLQ590126:WLQ590127 WVM590126:WVM590127 E655662:E655663 JA655662:JA655663 SW655662:SW655663 ACS655662:ACS655663 AMO655662:AMO655663 AWK655662:AWK655663 BGG655662:BGG655663 BQC655662:BQC655663 BZY655662:BZY655663 CJU655662:CJU655663 CTQ655662:CTQ655663 DDM655662:DDM655663 DNI655662:DNI655663 DXE655662:DXE655663 EHA655662:EHA655663 EQW655662:EQW655663 FAS655662:FAS655663 FKO655662:FKO655663 FUK655662:FUK655663 GEG655662:GEG655663 GOC655662:GOC655663 GXY655662:GXY655663 HHU655662:HHU655663 HRQ655662:HRQ655663 IBM655662:IBM655663 ILI655662:ILI655663 IVE655662:IVE655663 JFA655662:JFA655663 JOW655662:JOW655663 JYS655662:JYS655663 KIO655662:KIO655663 KSK655662:KSK655663 LCG655662:LCG655663 LMC655662:LMC655663 LVY655662:LVY655663 MFU655662:MFU655663 MPQ655662:MPQ655663 MZM655662:MZM655663 NJI655662:NJI655663 NTE655662:NTE655663 ODA655662:ODA655663 OMW655662:OMW655663 OWS655662:OWS655663 PGO655662:PGO655663 PQK655662:PQK655663 QAG655662:QAG655663 QKC655662:QKC655663 QTY655662:QTY655663 RDU655662:RDU655663 RNQ655662:RNQ655663 RXM655662:RXM655663 SHI655662:SHI655663 SRE655662:SRE655663 TBA655662:TBA655663 TKW655662:TKW655663 TUS655662:TUS655663 UEO655662:UEO655663 UOK655662:UOK655663 UYG655662:UYG655663 VIC655662:VIC655663 VRY655662:VRY655663 WBU655662:WBU655663 WLQ655662:WLQ655663 WVM655662:WVM655663 E721198:E721199 JA721198:JA721199 SW721198:SW721199 ACS721198:ACS721199 AMO721198:AMO721199 AWK721198:AWK721199 BGG721198:BGG721199 BQC721198:BQC721199 BZY721198:BZY721199 CJU721198:CJU721199 CTQ721198:CTQ721199 DDM721198:DDM721199 DNI721198:DNI721199 DXE721198:DXE721199 EHA721198:EHA721199 EQW721198:EQW721199 FAS721198:FAS721199 FKO721198:FKO721199 FUK721198:FUK721199 GEG721198:GEG721199 GOC721198:GOC721199 GXY721198:GXY721199 HHU721198:HHU721199 HRQ721198:HRQ721199 IBM721198:IBM721199 ILI721198:ILI721199 IVE721198:IVE721199 JFA721198:JFA721199 JOW721198:JOW721199 JYS721198:JYS721199 KIO721198:KIO721199 KSK721198:KSK721199 LCG721198:LCG721199 LMC721198:LMC721199 LVY721198:LVY721199 MFU721198:MFU721199 MPQ721198:MPQ721199 MZM721198:MZM721199 NJI721198:NJI721199 NTE721198:NTE721199 ODA721198:ODA721199 OMW721198:OMW721199 OWS721198:OWS721199 PGO721198:PGO721199 PQK721198:PQK721199 QAG721198:QAG721199 QKC721198:QKC721199 QTY721198:QTY721199 RDU721198:RDU721199 RNQ721198:RNQ721199 RXM721198:RXM721199 SHI721198:SHI721199 SRE721198:SRE721199 TBA721198:TBA721199 TKW721198:TKW721199 TUS721198:TUS721199 UEO721198:UEO721199 UOK721198:UOK721199 UYG721198:UYG721199 VIC721198:VIC721199 VRY721198:VRY721199 WBU721198:WBU721199 WLQ721198:WLQ721199 WVM721198:WVM721199 E786734:E786735 JA786734:JA786735 SW786734:SW786735 ACS786734:ACS786735 AMO786734:AMO786735 AWK786734:AWK786735 BGG786734:BGG786735 BQC786734:BQC786735 BZY786734:BZY786735 CJU786734:CJU786735 CTQ786734:CTQ786735 DDM786734:DDM786735 DNI786734:DNI786735 DXE786734:DXE786735 EHA786734:EHA786735 EQW786734:EQW786735 FAS786734:FAS786735 FKO786734:FKO786735 FUK786734:FUK786735 GEG786734:GEG786735 GOC786734:GOC786735 GXY786734:GXY786735 HHU786734:HHU786735 HRQ786734:HRQ786735 IBM786734:IBM786735 ILI786734:ILI786735 IVE786734:IVE786735 JFA786734:JFA786735 JOW786734:JOW786735 JYS786734:JYS786735 KIO786734:KIO786735 KSK786734:KSK786735 LCG786734:LCG786735 LMC786734:LMC786735 LVY786734:LVY786735 MFU786734:MFU786735 MPQ786734:MPQ786735 MZM786734:MZM786735 NJI786734:NJI786735 NTE786734:NTE786735 ODA786734:ODA786735 OMW786734:OMW786735 OWS786734:OWS786735 PGO786734:PGO786735 PQK786734:PQK786735 QAG786734:QAG786735 QKC786734:QKC786735 QTY786734:QTY786735 RDU786734:RDU786735 RNQ786734:RNQ786735 RXM786734:RXM786735 SHI786734:SHI786735 SRE786734:SRE786735 TBA786734:TBA786735 TKW786734:TKW786735 TUS786734:TUS786735 UEO786734:UEO786735 UOK786734:UOK786735 UYG786734:UYG786735 VIC786734:VIC786735 VRY786734:VRY786735 WBU786734:WBU786735 WLQ786734:WLQ786735 WVM786734:WVM786735 E852270:E852271 JA852270:JA852271 SW852270:SW852271 ACS852270:ACS852271 AMO852270:AMO852271 AWK852270:AWK852271 BGG852270:BGG852271 BQC852270:BQC852271 BZY852270:BZY852271 CJU852270:CJU852271 CTQ852270:CTQ852271 DDM852270:DDM852271 DNI852270:DNI852271 DXE852270:DXE852271 EHA852270:EHA852271 EQW852270:EQW852271 FAS852270:FAS852271 FKO852270:FKO852271 FUK852270:FUK852271 GEG852270:GEG852271 GOC852270:GOC852271 GXY852270:GXY852271 HHU852270:HHU852271 HRQ852270:HRQ852271 IBM852270:IBM852271 ILI852270:ILI852271 IVE852270:IVE852271 JFA852270:JFA852271 JOW852270:JOW852271 JYS852270:JYS852271 KIO852270:KIO852271 KSK852270:KSK852271 LCG852270:LCG852271 LMC852270:LMC852271 LVY852270:LVY852271 MFU852270:MFU852271 MPQ852270:MPQ852271 MZM852270:MZM852271 NJI852270:NJI852271 NTE852270:NTE852271 ODA852270:ODA852271 OMW852270:OMW852271 OWS852270:OWS852271 PGO852270:PGO852271 PQK852270:PQK852271 QAG852270:QAG852271 QKC852270:QKC852271 QTY852270:QTY852271 RDU852270:RDU852271 RNQ852270:RNQ852271 RXM852270:RXM852271 SHI852270:SHI852271 SRE852270:SRE852271 TBA852270:TBA852271 TKW852270:TKW852271 TUS852270:TUS852271 UEO852270:UEO852271 UOK852270:UOK852271 UYG852270:UYG852271 VIC852270:VIC852271 VRY852270:VRY852271 WBU852270:WBU852271 WLQ852270:WLQ852271 WVM852270:WVM852271 E917806:E917807 JA917806:JA917807 SW917806:SW917807 ACS917806:ACS917807 AMO917806:AMO917807 AWK917806:AWK917807 BGG917806:BGG917807 BQC917806:BQC917807 BZY917806:BZY917807 CJU917806:CJU917807 CTQ917806:CTQ917807 DDM917806:DDM917807 DNI917806:DNI917807 DXE917806:DXE917807 EHA917806:EHA917807 EQW917806:EQW917807 FAS917806:FAS917807 FKO917806:FKO917807 FUK917806:FUK917807 GEG917806:GEG917807 GOC917806:GOC917807 GXY917806:GXY917807 HHU917806:HHU917807 HRQ917806:HRQ917807 IBM917806:IBM917807 ILI917806:ILI917807 IVE917806:IVE917807 JFA917806:JFA917807 JOW917806:JOW917807 JYS917806:JYS917807 KIO917806:KIO917807 KSK917806:KSK917807 LCG917806:LCG917807 LMC917806:LMC917807 LVY917806:LVY917807 MFU917806:MFU917807 MPQ917806:MPQ917807 MZM917806:MZM917807 NJI917806:NJI917807 NTE917806:NTE917807 ODA917806:ODA917807 OMW917806:OMW917807 OWS917806:OWS917807 PGO917806:PGO917807 PQK917806:PQK917807 QAG917806:QAG917807 QKC917806:QKC917807 QTY917806:QTY917807 RDU917806:RDU917807 RNQ917806:RNQ917807 RXM917806:RXM917807 SHI917806:SHI917807 SRE917806:SRE917807 TBA917806:TBA917807 TKW917806:TKW917807 TUS917806:TUS917807 UEO917806:UEO917807 UOK917806:UOK917807 UYG917806:UYG917807 VIC917806:VIC917807 VRY917806:VRY917807 WBU917806:WBU917807 WLQ917806:WLQ917807 WVM917806:WVM917807 E983342:E983343 JA983342:JA983343 SW983342:SW983343 ACS983342:ACS983343 AMO983342:AMO983343 AWK983342:AWK983343 BGG983342:BGG983343 BQC983342:BQC983343 BZY983342:BZY983343 CJU983342:CJU983343 CTQ983342:CTQ983343 DDM983342:DDM983343 DNI983342:DNI983343 DXE983342:DXE983343 EHA983342:EHA983343 EQW983342:EQW983343 FAS983342:FAS983343 FKO983342:FKO983343 FUK983342:FUK983343 GEG983342:GEG983343 GOC983342:GOC983343 GXY983342:GXY983343 HHU983342:HHU983343 HRQ983342:HRQ983343 IBM983342:IBM983343 ILI983342:ILI983343 IVE983342:IVE983343 JFA983342:JFA983343 JOW983342:JOW983343 JYS983342:JYS983343 KIO983342:KIO983343 KSK983342:KSK983343 LCG983342:LCG983343 LMC983342:LMC983343 LVY983342:LVY983343 MFU983342:MFU983343 MPQ983342:MPQ983343 MZM983342:MZM983343 NJI983342:NJI983343 NTE983342:NTE983343 ODA983342:ODA983343 OMW983342:OMW983343 OWS983342:OWS983343 PGO983342:PGO983343 PQK983342:PQK983343 QAG983342:QAG983343 QKC983342:QKC983343 QTY983342:QTY983343 RDU983342:RDU983343 RNQ983342:RNQ983343 RXM983342:RXM983343 SHI983342:SHI983343 SRE983342:SRE983343 TBA983342:TBA983343 TKW983342:TKW983343 TUS983342:TUS983343 UEO983342:UEO983343 UOK983342:UOK983343 UYG983342:UYG983343 VIC983342:VIC983343 VRY983342:VRY983343 WBU983342:WBU983343 WLQ983342:WLQ983343 WVM983342:WVM983343 G93:K93 JC93:JG93 SY93:TC93 ACU93:ACY93 AMQ93:AMU93 AWM93:AWQ93 BGI93:BGM93 BQE93:BQI93 CAA93:CAE93 CJW93:CKA93 CTS93:CTW93 DDO93:DDS93 DNK93:DNO93 DXG93:DXK93 EHC93:EHG93 EQY93:ERC93 FAU93:FAY93 FKQ93:FKU93 FUM93:FUQ93 GEI93:GEM93 GOE93:GOI93 GYA93:GYE93 HHW93:HIA93 HRS93:HRW93 IBO93:IBS93 ILK93:ILO93 IVG93:IVK93 JFC93:JFG93 JOY93:JPC93 JYU93:JYY93 KIQ93:KIU93 KSM93:KSQ93 LCI93:LCM93 LME93:LMI93 LWA93:LWE93 MFW93:MGA93 MPS93:MPW93 MZO93:MZS93 NJK93:NJO93 NTG93:NTK93 ODC93:ODG93 OMY93:ONC93 OWU93:OWY93 PGQ93:PGU93 PQM93:PQQ93 QAI93:QAM93 QKE93:QKI93 QUA93:QUE93 RDW93:REA93 RNS93:RNW93 RXO93:RXS93 SHK93:SHO93 SRG93:SRK93 TBC93:TBG93 TKY93:TLC93 TUU93:TUY93 UEQ93:UEU93 UOM93:UOQ93 UYI93:UYM93 VIE93:VII93 VSA93:VSE93 WBW93:WCA93 WLS93:WLW93 WVO93:WVS93 G65629:K65629 JC65629:JG65629 SY65629:TC65629 ACU65629:ACY65629 AMQ65629:AMU65629 AWM65629:AWQ65629 BGI65629:BGM65629 BQE65629:BQI65629 CAA65629:CAE65629 CJW65629:CKA65629 CTS65629:CTW65629 DDO65629:DDS65629 DNK65629:DNO65629 DXG65629:DXK65629 EHC65629:EHG65629 EQY65629:ERC65629 FAU65629:FAY65629 FKQ65629:FKU65629 FUM65629:FUQ65629 GEI65629:GEM65629 GOE65629:GOI65629 GYA65629:GYE65629 HHW65629:HIA65629 HRS65629:HRW65629 IBO65629:IBS65629 ILK65629:ILO65629 IVG65629:IVK65629 JFC65629:JFG65629 JOY65629:JPC65629 JYU65629:JYY65629 KIQ65629:KIU65629 KSM65629:KSQ65629 LCI65629:LCM65629 LME65629:LMI65629 LWA65629:LWE65629 MFW65629:MGA65629 MPS65629:MPW65629 MZO65629:MZS65629 NJK65629:NJO65629 NTG65629:NTK65629 ODC65629:ODG65629 OMY65629:ONC65629 OWU65629:OWY65629 PGQ65629:PGU65629 PQM65629:PQQ65629 QAI65629:QAM65629 QKE65629:QKI65629 QUA65629:QUE65629 RDW65629:REA65629 RNS65629:RNW65629 RXO65629:RXS65629 SHK65629:SHO65629 SRG65629:SRK65629 TBC65629:TBG65629 TKY65629:TLC65629 TUU65629:TUY65629 UEQ65629:UEU65629 UOM65629:UOQ65629 UYI65629:UYM65629 VIE65629:VII65629 VSA65629:VSE65629 WBW65629:WCA65629 WLS65629:WLW65629 WVO65629:WVS65629 G131165:K131165 JC131165:JG131165 SY131165:TC131165 ACU131165:ACY131165 AMQ131165:AMU131165 AWM131165:AWQ131165 BGI131165:BGM131165 BQE131165:BQI131165 CAA131165:CAE131165 CJW131165:CKA131165 CTS131165:CTW131165 DDO131165:DDS131165 DNK131165:DNO131165 DXG131165:DXK131165 EHC131165:EHG131165 EQY131165:ERC131165 FAU131165:FAY131165 FKQ131165:FKU131165 FUM131165:FUQ131165 GEI131165:GEM131165 GOE131165:GOI131165 GYA131165:GYE131165 HHW131165:HIA131165 HRS131165:HRW131165 IBO131165:IBS131165 ILK131165:ILO131165 IVG131165:IVK131165 JFC131165:JFG131165 JOY131165:JPC131165 JYU131165:JYY131165 KIQ131165:KIU131165 KSM131165:KSQ131165 LCI131165:LCM131165 LME131165:LMI131165 LWA131165:LWE131165 MFW131165:MGA131165 MPS131165:MPW131165 MZO131165:MZS131165 NJK131165:NJO131165 NTG131165:NTK131165 ODC131165:ODG131165 OMY131165:ONC131165 OWU131165:OWY131165 PGQ131165:PGU131165 PQM131165:PQQ131165 QAI131165:QAM131165 QKE131165:QKI131165 QUA131165:QUE131165 RDW131165:REA131165 RNS131165:RNW131165 RXO131165:RXS131165 SHK131165:SHO131165 SRG131165:SRK131165 TBC131165:TBG131165 TKY131165:TLC131165 TUU131165:TUY131165 UEQ131165:UEU131165 UOM131165:UOQ131165 UYI131165:UYM131165 VIE131165:VII131165 VSA131165:VSE131165 WBW131165:WCA131165 WLS131165:WLW131165 WVO131165:WVS131165 G196701:K196701 JC196701:JG196701 SY196701:TC196701 ACU196701:ACY196701 AMQ196701:AMU196701 AWM196701:AWQ196701 BGI196701:BGM196701 BQE196701:BQI196701 CAA196701:CAE196701 CJW196701:CKA196701 CTS196701:CTW196701 DDO196701:DDS196701 DNK196701:DNO196701 DXG196701:DXK196701 EHC196701:EHG196701 EQY196701:ERC196701 FAU196701:FAY196701 FKQ196701:FKU196701 FUM196701:FUQ196701 GEI196701:GEM196701 GOE196701:GOI196701 GYA196701:GYE196701 HHW196701:HIA196701 HRS196701:HRW196701 IBO196701:IBS196701 ILK196701:ILO196701 IVG196701:IVK196701 JFC196701:JFG196701 JOY196701:JPC196701 JYU196701:JYY196701 KIQ196701:KIU196701 KSM196701:KSQ196701 LCI196701:LCM196701 LME196701:LMI196701 LWA196701:LWE196701 MFW196701:MGA196701 MPS196701:MPW196701 MZO196701:MZS196701 NJK196701:NJO196701 NTG196701:NTK196701 ODC196701:ODG196701 OMY196701:ONC196701 OWU196701:OWY196701 PGQ196701:PGU196701 PQM196701:PQQ196701 QAI196701:QAM196701 QKE196701:QKI196701 QUA196701:QUE196701 RDW196701:REA196701 RNS196701:RNW196701 RXO196701:RXS196701 SHK196701:SHO196701 SRG196701:SRK196701 TBC196701:TBG196701 TKY196701:TLC196701 TUU196701:TUY196701 UEQ196701:UEU196701 UOM196701:UOQ196701 UYI196701:UYM196701 VIE196701:VII196701 VSA196701:VSE196701 WBW196701:WCA196701 WLS196701:WLW196701 WVO196701:WVS196701 G262237:K262237 JC262237:JG262237 SY262237:TC262237 ACU262237:ACY262237 AMQ262237:AMU262237 AWM262237:AWQ262237 BGI262237:BGM262237 BQE262237:BQI262237 CAA262237:CAE262237 CJW262237:CKA262237 CTS262237:CTW262237 DDO262237:DDS262237 DNK262237:DNO262237 DXG262237:DXK262237 EHC262237:EHG262237 EQY262237:ERC262237 FAU262237:FAY262237 FKQ262237:FKU262237 FUM262237:FUQ262237 GEI262237:GEM262237 GOE262237:GOI262237 GYA262237:GYE262237 HHW262237:HIA262237 HRS262237:HRW262237 IBO262237:IBS262237 ILK262237:ILO262237 IVG262237:IVK262237 JFC262237:JFG262237 JOY262237:JPC262237 JYU262237:JYY262237 KIQ262237:KIU262237 KSM262237:KSQ262237 LCI262237:LCM262237 LME262237:LMI262237 LWA262237:LWE262237 MFW262237:MGA262237 MPS262237:MPW262237 MZO262237:MZS262237 NJK262237:NJO262237 NTG262237:NTK262237 ODC262237:ODG262237 OMY262237:ONC262237 OWU262237:OWY262237 PGQ262237:PGU262237 PQM262237:PQQ262237 QAI262237:QAM262237 QKE262237:QKI262237 QUA262237:QUE262237 RDW262237:REA262237 RNS262237:RNW262237 RXO262237:RXS262237 SHK262237:SHO262237 SRG262237:SRK262237 TBC262237:TBG262237 TKY262237:TLC262237 TUU262237:TUY262237 UEQ262237:UEU262237 UOM262237:UOQ262237 UYI262237:UYM262237 VIE262237:VII262237 VSA262237:VSE262237 WBW262237:WCA262237 WLS262237:WLW262237 WVO262237:WVS262237 G327773:K327773 JC327773:JG327773 SY327773:TC327773 ACU327773:ACY327773 AMQ327773:AMU327773 AWM327773:AWQ327773 BGI327773:BGM327773 BQE327773:BQI327773 CAA327773:CAE327773 CJW327773:CKA327773 CTS327773:CTW327773 DDO327773:DDS327773 DNK327773:DNO327773 DXG327773:DXK327773 EHC327773:EHG327773 EQY327773:ERC327773 FAU327773:FAY327773 FKQ327773:FKU327773 FUM327773:FUQ327773 GEI327773:GEM327773 GOE327773:GOI327773 GYA327773:GYE327773 HHW327773:HIA327773 HRS327773:HRW327773 IBO327773:IBS327773 ILK327773:ILO327773 IVG327773:IVK327773 JFC327773:JFG327773 JOY327773:JPC327773 JYU327773:JYY327773 KIQ327773:KIU327773 KSM327773:KSQ327773 LCI327773:LCM327773 LME327773:LMI327773 LWA327773:LWE327773 MFW327773:MGA327773 MPS327773:MPW327773 MZO327773:MZS327773 NJK327773:NJO327773 NTG327773:NTK327773 ODC327773:ODG327773 OMY327773:ONC327773 OWU327773:OWY327773 PGQ327773:PGU327773 PQM327773:PQQ327773 QAI327773:QAM327773 QKE327773:QKI327773 QUA327773:QUE327773 RDW327773:REA327773 RNS327773:RNW327773 RXO327773:RXS327773 SHK327773:SHO327773 SRG327773:SRK327773 TBC327773:TBG327773 TKY327773:TLC327773 TUU327773:TUY327773 UEQ327773:UEU327773 UOM327773:UOQ327773 UYI327773:UYM327773 VIE327773:VII327773 VSA327773:VSE327773 WBW327773:WCA327773 WLS327773:WLW327773 WVO327773:WVS327773 G393309:K393309 JC393309:JG393309 SY393309:TC393309 ACU393309:ACY393309 AMQ393309:AMU393309 AWM393309:AWQ393309 BGI393309:BGM393309 BQE393309:BQI393309 CAA393309:CAE393309 CJW393309:CKA393309 CTS393309:CTW393309 DDO393309:DDS393309 DNK393309:DNO393309 DXG393309:DXK393309 EHC393309:EHG393309 EQY393309:ERC393309 FAU393309:FAY393309 FKQ393309:FKU393309 FUM393309:FUQ393309 GEI393309:GEM393309 GOE393309:GOI393309 GYA393309:GYE393309 HHW393309:HIA393309 HRS393309:HRW393309 IBO393309:IBS393309 ILK393309:ILO393309 IVG393309:IVK393309 JFC393309:JFG393309 JOY393309:JPC393309 JYU393309:JYY393309 KIQ393309:KIU393309 KSM393309:KSQ393309 LCI393309:LCM393309 LME393309:LMI393309 LWA393309:LWE393309 MFW393309:MGA393309 MPS393309:MPW393309 MZO393309:MZS393309 NJK393309:NJO393309 NTG393309:NTK393309 ODC393309:ODG393309 OMY393309:ONC393309 OWU393309:OWY393309 PGQ393309:PGU393309 PQM393309:PQQ393309 QAI393309:QAM393309 QKE393309:QKI393309 QUA393309:QUE393309 RDW393309:REA393309 RNS393309:RNW393309 RXO393309:RXS393309 SHK393309:SHO393309 SRG393309:SRK393309 TBC393309:TBG393309 TKY393309:TLC393309 TUU393309:TUY393309 UEQ393309:UEU393309 UOM393309:UOQ393309 UYI393309:UYM393309 VIE393309:VII393309 VSA393309:VSE393309 WBW393309:WCA393309 WLS393309:WLW393309 WVO393309:WVS393309 G458845:K458845 JC458845:JG458845 SY458845:TC458845 ACU458845:ACY458845 AMQ458845:AMU458845 AWM458845:AWQ458845 BGI458845:BGM458845 BQE458845:BQI458845 CAA458845:CAE458845 CJW458845:CKA458845 CTS458845:CTW458845 DDO458845:DDS458845 DNK458845:DNO458845 DXG458845:DXK458845 EHC458845:EHG458845 EQY458845:ERC458845 FAU458845:FAY458845 FKQ458845:FKU458845 FUM458845:FUQ458845 GEI458845:GEM458845 GOE458845:GOI458845 GYA458845:GYE458845 HHW458845:HIA458845 HRS458845:HRW458845 IBO458845:IBS458845 ILK458845:ILO458845 IVG458845:IVK458845 JFC458845:JFG458845 JOY458845:JPC458845 JYU458845:JYY458845 KIQ458845:KIU458845 KSM458845:KSQ458845 LCI458845:LCM458845 LME458845:LMI458845 LWA458845:LWE458845 MFW458845:MGA458845 MPS458845:MPW458845 MZO458845:MZS458845 NJK458845:NJO458845 NTG458845:NTK458845 ODC458845:ODG458845 OMY458845:ONC458845 OWU458845:OWY458845 PGQ458845:PGU458845 PQM458845:PQQ458845 QAI458845:QAM458845 QKE458845:QKI458845 QUA458845:QUE458845 RDW458845:REA458845 RNS458845:RNW458845 RXO458845:RXS458845 SHK458845:SHO458845 SRG458845:SRK458845 TBC458845:TBG458845 TKY458845:TLC458845 TUU458845:TUY458845 UEQ458845:UEU458845 UOM458845:UOQ458845 UYI458845:UYM458845 VIE458845:VII458845 VSA458845:VSE458845 WBW458845:WCA458845 WLS458845:WLW458845 WVO458845:WVS458845 G524381:K524381 JC524381:JG524381 SY524381:TC524381 ACU524381:ACY524381 AMQ524381:AMU524381 AWM524381:AWQ524381 BGI524381:BGM524381 BQE524381:BQI524381 CAA524381:CAE524381 CJW524381:CKA524381 CTS524381:CTW524381 DDO524381:DDS524381 DNK524381:DNO524381 DXG524381:DXK524381 EHC524381:EHG524381 EQY524381:ERC524381 FAU524381:FAY524381 FKQ524381:FKU524381 FUM524381:FUQ524381 GEI524381:GEM524381 GOE524381:GOI524381 GYA524381:GYE524381 HHW524381:HIA524381 HRS524381:HRW524381 IBO524381:IBS524381 ILK524381:ILO524381 IVG524381:IVK524381 JFC524381:JFG524381 JOY524381:JPC524381 JYU524381:JYY524381 KIQ524381:KIU524381 KSM524381:KSQ524381 LCI524381:LCM524381 LME524381:LMI524381 LWA524381:LWE524381 MFW524381:MGA524381 MPS524381:MPW524381 MZO524381:MZS524381 NJK524381:NJO524381 NTG524381:NTK524381 ODC524381:ODG524381 OMY524381:ONC524381 OWU524381:OWY524381 PGQ524381:PGU524381 PQM524381:PQQ524381 QAI524381:QAM524381 QKE524381:QKI524381 QUA524381:QUE524381 RDW524381:REA524381 RNS524381:RNW524381 RXO524381:RXS524381 SHK524381:SHO524381 SRG524381:SRK524381 TBC524381:TBG524381 TKY524381:TLC524381 TUU524381:TUY524381 UEQ524381:UEU524381 UOM524381:UOQ524381 UYI524381:UYM524381 VIE524381:VII524381 VSA524381:VSE524381 WBW524381:WCA524381 WLS524381:WLW524381 WVO524381:WVS524381 G589917:K589917 JC589917:JG589917 SY589917:TC589917 ACU589917:ACY589917 AMQ589917:AMU589917 AWM589917:AWQ589917 BGI589917:BGM589917 BQE589917:BQI589917 CAA589917:CAE589917 CJW589917:CKA589917 CTS589917:CTW589917 DDO589917:DDS589917 DNK589917:DNO589917 DXG589917:DXK589917 EHC589917:EHG589917 EQY589917:ERC589917 FAU589917:FAY589917 FKQ589917:FKU589917 FUM589917:FUQ589917 GEI589917:GEM589917 GOE589917:GOI589917 GYA589917:GYE589917 HHW589917:HIA589917 HRS589917:HRW589917 IBO589917:IBS589917 ILK589917:ILO589917 IVG589917:IVK589917 JFC589917:JFG589917 JOY589917:JPC589917 JYU589917:JYY589917 KIQ589917:KIU589917 KSM589917:KSQ589917 LCI589917:LCM589917 LME589917:LMI589917 LWA589917:LWE589917 MFW589917:MGA589917 MPS589917:MPW589917 MZO589917:MZS589917 NJK589917:NJO589917 NTG589917:NTK589917 ODC589917:ODG589917 OMY589917:ONC589917 OWU589917:OWY589917 PGQ589917:PGU589917 PQM589917:PQQ589917 QAI589917:QAM589917 QKE589917:QKI589917 QUA589917:QUE589917 RDW589917:REA589917 RNS589917:RNW589917 RXO589917:RXS589917 SHK589917:SHO589917 SRG589917:SRK589917 TBC589917:TBG589917 TKY589917:TLC589917 TUU589917:TUY589917 UEQ589917:UEU589917 UOM589917:UOQ589917 UYI589917:UYM589917 VIE589917:VII589917 VSA589917:VSE589917 WBW589917:WCA589917 WLS589917:WLW589917 WVO589917:WVS589917 G655453:K655453 JC655453:JG655453 SY655453:TC655453 ACU655453:ACY655453 AMQ655453:AMU655453 AWM655453:AWQ655453 BGI655453:BGM655453 BQE655453:BQI655453 CAA655453:CAE655453 CJW655453:CKA655453 CTS655453:CTW655453 DDO655453:DDS655453 DNK655453:DNO655453 DXG655453:DXK655453 EHC655453:EHG655453 EQY655453:ERC655453 FAU655453:FAY655453 FKQ655453:FKU655453 FUM655453:FUQ655453 GEI655453:GEM655453 GOE655453:GOI655453 GYA655453:GYE655453 HHW655453:HIA655453 HRS655453:HRW655453 IBO655453:IBS655453 ILK655453:ILO655453 IVG655453:IVK655453 JFC655453:JFG655453 JOY655453:JPC655453 JYU655453:JYY655453 KIQ655453:KIU655453 KSM655453:KSQ655453 LCI655453:LCM655453 LME655453:LMI655453 LWA655453:LWE655453 MFW655453:MGA655453 MPS655453:MPW655453 MZO655453:MZS655453 NJK655453:NJO655453 NTG655453:NTK655453 ODC655453:ODG655453 OMY655453:ONC655453 OWU655453:OWY655453 PGQ655453:PGU655453 PQM655453:PQQ655453 QAI655453:QAM655453 QKE655453:QKI655453 QUA655453:QUE655453 RDW655453:REA655453 RNS655453:RNW655453 RXO655453:RXS655453 SHK655453:SHO655453 SRG655453:SRK655453 TBC655453:TBG655453 TKY655453:TLC655453 TUU655453:TUY655453 UEQ655453:UEU655453 UOM655453:UOQ655453 UYI655453:UYM655453 VIE655453:VII655453 VSA655453:VSE655453 WBW655453:WCA655453 WLS655453:WLW655453 WVO655453:WVS655453 G720989:K720989 JC720989:JG720989 SY720989:TC720989 ACU720989:ACY720989 AMQ720989:AMU720989 AWM720989:AWQ720989 BGI720989:BGM720989 BQE720989:BQI720989 CAA720989:CAE720989 CJW720989:CKA720989 CTS720989:CTW720989 DDO720989:DDS720989 DNK720989:DNO720989 DXG720989:DXK720989 EHC720989:EHG720989 EQY720989:ERC720989 FAU720989:FAY720989 FKQ720989:FKU720989 FUM720989:FUQ720989 GEI720989:GEM720989 GOE720989:GOI720989 GYA720989:GYE720989 HHW720989:HIA720989 HRS720989:HRW720989 IBO720989:IBS720989 ILK720989:ILO720989 IVG720989:IVK720989 JFC720989:JFG720989 JOY720989:JPC720989 JYU720989:JYY720989 KIQ720989:KIU720989 KSM720989:KSQ720989 LCI720989:LCM720989 LME720989:LMI720989 LWA720989:LWE720989 MFW720989:MGA720989 MPS720989:MPW720989 MZO720989:MZS720989 NJK720989:NJO720989 NTG720989:NTK720989 ODC720989:ODG720989 OMY720989:ONC720989 OWU720989:OWY720989 PGQ720989:PGU720989 PQM720989:PQQ720989 QAI720989:QAM720989 QKE720989:QKI720989 QUA720989:QUE720989 RDW720989:REA720989 RNS720989:RNW720989 RXO720989:RXS720989 SHK720989:SHO720989 SRG720989:SRK720989 TBC720989:TBG720989 TKY720989:TLC720989 TUU720989:TUY720989 UEQ720989:UEU720989 UOM720989:UOQ720989 UYI720989:UYM720989 VIE720989:VII720989 VSA720989:VSE720989 WBW720989:WCA720989 WLS720989:WLW720989 WVO720989:WVS720989 G786525:K786525 JC786525:JG786525 SY786525:TC786525 ACU786525:ACY786525 AMQ786525:AMU786525 AWM786525:AWQ786525 BGI786525:BGM786525 BQE786525:BQI786525 CAA786525:CAE786525 CJW786525:CKA786525 CTS786525:CTW786525 DDO786525:DDS786525 DNK786525:DNO786525 DXG786525:DXK786525 EHC786525:EHG786525 EQY786525:ERC786525 FAU786525:FAY786525 FKQ786525:FKU786525 FUM786525:FUQ786525 GEI786525:GEM786525 GOE786525:GOI786525 GYA786525:GYE786525 HHW786525:HIA786525 HRS786525:HRW786525 IBO786525:IBS786525 ILK786525:ILO786525 IVG786525:IVK786525 JFC786525:JFG786525 JOY786525:JPC786525 JYU786525:JYY786525 KIQ786525:KIU786525 KSM786525:KSQ786525 LCI786525:LCM786525 LME786525:LMI786525 LWA786525:LWE786525 MFW786525:MGA786525 MPS786525:MPW786525 MZO786525:MZS786525 NJK786525:NJO786525 NTG786525:NTK786525 ODC786525:ODG786525 OMY786525:ONC786525 OWU786525:OWY786525 PGQ786525:PGU786525 PQM786525:PQQ786525 QAI786525:QAM786525 QKE786525:QKI786525 QUA786525:QUE786525 RDW786525:REA786525 RNS786525:RNW786525 RXO786525:RXS786525 SHK786525:SHO786525 SRG786525:SRK786525 TBC786525:TBG786525 TKY786525:TLC786525 TUU786525:TUY786525 UEQ786525:UEU786525 UOM786525:UOQ786525 UYI786525:UYM786525 VIE786525:VII786525 VSA786525:VSE786525 WBW786525:WCA786525 WLS786525:WLW786525 WVO786525:WVS786525 G852061:K852061 JC852061:JG852061 SY852061:TC852061 ACU852061:ACY852061 AMQ852061:AMU852061 AWM852061:AWQ852061 BGI852061:BGM852061 BQE852061:BQI852061 CAA852061:CAE852061 CJW852061:CKA852061 CTS852061:CTW852061 DDO852061:DDS852061 DNK852061:DNO852061 DXG852061:DXK852061 EHC852061:EHG852061 EQY852061:ERC852061 FAU852061:FAY852061 FKQ852061:FKU852061 FUM852061:FUQ852061 GEI852061:GEM852061 GOE852061:GOI852061 GYA852061:GYE852061 HHW852061:HIA852061 HRS852061:HRW852061 IBO852061:IBS852061 ILK852061:ILO852061 IVG852061:IVK852061 JFC852061:JFG852061 JOY852061:JPC852061 JYU852061:JYY852061 KIQ852061:KIU852061 KSM852061:KSQ852061 LCI852061:LCM852061 LME852061:LMI852061 LWA852061:LWE852061 MFW852061:MGA852061 MPS852061:MPW852061 MZO852061:MZS852061 NJK852061:NJO852061 NTG852061:NTK852061 ODC852061:ODG852061 OMY852061:ONC852061 OWU852061:OWY852061 PGQ852061:PGU852061 PQM852061:PQQ852061 QAI852061:QAM852061 QKE852061:QKI852061 QUA852061:QUE852061 RDW852061:REA852061 RNS852061:RNW852061 RXO852061:RXS852061 SHK852061:SHO852061 SRG852061:SRK852061 TBC852061:TBG852061 TKY852061:TLC852061 TUU852061:TUY852061 UEQ852061:UEU852061 UOM852061:UOQ852061 UYI852061:UYM852061 VIE852061:VII852061 VSA852061:VSE852061 WBW852061:WCA852061 WLS852061:WLW852061 WVO852061:WVS852061 G917597:K917597 JC917597:JG917597 SY917597:TC917597 ACU917597:ACY917597 AMQ917597:AMU917597 AWM917597:AWQ917597 BGI917597:BGM917597 BQE917597:BQI917597 CAA917597:CAE917597 CJW917597:CKA917597 CTS917597:CTW917597 DDO917597:DDS917597 DNK917597:DNO917597 DXG917597:DXK917597 EHC917597:EHG917597 EQY917597:ERC917597 FAU917597:FAY917597 FKQ917597:FKU917597 FUM917597:FUQ917597 GEI917597:GEM917597 GOE917597:GOI917597 GYA917597:GYE917597 HHW917597:HIA917597 HRS917597:HRW917597 IBO917597:IBS917597 ILK917597:ILO917597 IVG917597:IVK917597 JFC917597:JFG917597 JOY917597:JPC917597 JYU917597:JYY917597 KIQ917597:KIU917597 KSM917597:KSQ917597 LCI917597:LCM917597 LME917597:LMI917597 LWA917597:LWE917597 MFW917597:MGA917597 MPS917597:MPW917597 MZO917597:MZS917597 NJK917597:NJO917597 NTG917597:NTK917597 ODC917597:ODG917597 OMY917597:ONC917597 OWU917597:OWY917597 PGQ917597:PGU917597 PQM917597:PQQ917597 QAI917597:QAM917597 QKE917597:QKI917597 QUA917597:QUE917597 RDW917597:REA917597 RNS917597:RNW917597 RXO917597:RXS917597 SHK917597:SHO917597 SRG917597:SRK917597 TBC917597:TBG917597 TKY917597:TLC917597 TUU917597:TUY917597 UEQ917597:UEU917597 UOM917597:UOQ917597 UYI917597:UYM917597 VIE917597:VII917597 VSA917597:VSE917597 WBW917597:WCA917597 WLS917597:WLW917597 WVO917597:WVS917597 G983133:K983133 JC983133:JG983133 SY983133:TC983133 ACU983133:ACY983133 AMQ983133:AMU983133 AWM983133:AWQ983133 BGI983133:BGM983133 BQE983133:BQI983133 CAA983133:CAE983133 CJW983133:CKA983133 CTS983133:CTW983133 DDO983133:DDS983133 DNK983133:DNO983133 DXG983133:DXK983133 EHC983133:EHG983133 EQY983133:ERC983133 FAU983133:FAY983133 FKQ983133:FKU983133 FUM983133:FUQ983133 GEI983133:GEM983133 GOE983133:GOI983133 GYA983133:GYE983133 HHW983133:HIA983133 HRS983133:HRW983133 IBO983133:IBS983133 ILK983133:ILO983133 IVG983133:IVK983133 JFC983133:JFG983133 JOY983133:JPC983133 JYU983133:JYY983133 KIQ983133:KIU983133 KSM983133:KSQ983133 LCI983133:LCM983133 LME983133:LMI983133 LWA983133:LWE983133 MFW983133:MGA983133 MPS983133:MPW983133 MZO983133:MZS983133 NJK983133:NJO983133 NTG983133:NTK983133 ODC983133:ODG983133 OMY983133:ONC983133 OWU983133:OWY983133 PGQ983133:PGU983133 PQM983133:PQQ983133 QAI983133:QAM983133 QKE983133:QKI983133 QUA983133:QUE983133 RDW983133:REA983133 RNS983133:RNW983133 RXO983133:RXS983133 SHK983133:SHO983133 SRG983133:SRK983133 TBC983133:TBG983133 TKY983133:TLC983133 TUU983133:TUY983133 UEQ983133:UEU983133 UOM983133:UOQ983133 UYI983133:UYM983133 VIE983133:VII983133 VSA983133:VSE983133 WBW983133:WCA983133 WLS983133:WLW983133 WVO983133:WVS983133" xr:uid="{00000000-0002-0000-0F00-000003000000}">
      <formula1>"有り,無し"</formula1>
    </dataValidation>
  </dataValidations>
  <pageMargins left="0.78700000000000003" right="0.78700000000000003" top="0.98399999999999999" bottom="0.98399999999999999" header="0.51200000000000001" footer="0.51200000000000001"/>
  <pageSetup paperSize="9" scale="64" orientation="landscape" r:id="rId1"/>
  <headerFooter alignWithMargins="0"/>
  <rowBreaks count="9" manualBreakCount="9">
    <brk id="43" max="16383" man="1"/>
    <brk id="83" max="13" man="1"/>
    <brk id="142" max="13" man="1"/>
    <brk id="173" max="16383" man="1"/>
    <brk id="219" max="16383" man="1"/>
    <brk id="297" max="13" man="1"/>
    <brk id="355" max="16383" man="1"/>
    <brk id="386" max="16383" man="1"/>
    <brk id="432" max="16383" man="1"/>
  </rowBreak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7"/>
  <dimension ref="A1:AH136"/>
  <sheetViews>
    <sheetView zoomScaleNormal="100" workbookViewId="0">
      <selection activeCell="L16" sqref="L16"/>
    </sheetView>
  </sheetViews>
  <sheetFormatPr baseColWidth="10" defaultColWidth="9" defaultRowHeight="14"/>
  <cols>
    <col min="1" max="1" width="6.83203125" customWidth="1"/>
    <col min="6" max="6" width="8" customWidth="1"/>
    <col min="9" max="9" width="9.5" customWidth="1"/>
    <col min="12" max="12" width="4.33203125" customWidth="1"/>
    <col min="13" max="13" width="14.6640625" customWidth="1"/>
    <col min="14" max="14" width="15.33203125" customWidth="1"/>
  </cols>
  <sheetData>
    <row r="1" spans="1:15">
      <c r="A1" s="41"/>
      <c r="B1" t="s">
        <v>112</v>
      </c>
      <c r="E1" s="41"/>
      <c r="F1" s="41"/>
      <c r="G1" s="41"/>
      <c r="H1" s="41"/>
      <c r="I1" s="41"/>
    </row>
    <row r="2" spans="1:15">
      <c r="A2" s="41"/>
      <c r="C2" t="s">
        <v>111</v>
      </c>
      <c r="D2" s="136">
        <v>0</v>
      </c>
      <c r="E2" s="41"/>
      <c r="F2" s="46" t="s">
        <v>40</v>
      </c>
      <c r="G2" s="47"/>
      <c r="H2" s="101" t="str">
        <f>IF(E2="","",INT(E2*G2))</f>
        <v/>
      </c>
      <c r="I2" s="41"/>
      <c r="J2" s="147"/>
      <c r="K2" s="147"/>
      <c r="L2" s="147"/>
      <c r="M2" s="148"/>
      <c r="N2" s="147"/>
      <c r="O2" s="147"/>
    </row>
    <row r="3" spans="1:15">
      <c r="A3" s="41"/>
      <c r="B3" t="s">
        <v>94</v>
      </c>
      <c r="E3" s="49"/>
      <c r="F3" s="41"/>
      <c r="G3" s="41"/>
      <c r="H3" s="41"/>
      <c r="I3" s="41"/>
      <c r="J3" s="147"/>
      <c r="K3" s="149"/>
      <c r="L3" s="147"/>
      <c r="M3" s="147"/>
      <c r="N3" s="147"/>
      <c r="O3" s="147"/>
    </row>
    <row r="4" spans="1:15">
      <c r="A4" s="41"/>
      <c r="C4" t="s">
        <v>95</v>
      </c>
      <c r="D4" s="136">
        <v>3</v>
      </c>
      <c r="E4" s="41"/>
      <c r="F4" s="44" t="s">
        <v>41</v>
      </c>
      <c r="G4" s="44"/>
      <c r="H4" s="42" t="str">
        <f>+表紙!W5</f>
        <v>標準単価2018.xls</v>
      </c>
      <c r="I4" s="41"/>
      <c r="J4" s="147"/>
      <c r="K4" s="150"/>
      <c r="L4" s="150"/>
      <c r="M4" s="148"/>
      <c r="N4" s="148"/>
      <c r="O4" s="147"/>
    </row>
    <row r="5" spans="1:15">
      <c r="A5" s="41"/>
      <c r="B5" t="s">
        <v>96</v>
      </c>
      <c r="D5" s="41"/>
      <c r="E5" s="41"/>
      <c r="F5" s="48" t="s">
        <v>42</v>
      </c>
      <c r="G5" s="44"/>
      <c r="H5" s="43" t="str">
        <f>+表紙!W6</f>
        <v>c:\積算\</v>
      </c>
      <c r="I5" s="41"/>
      <c r="J5" s="147"/>
      <c r="K5" s="150"/>
      <c r="L5" s="150"/>
      <c r="M5" s="148"/>
      <c r="N5" s="148"/>
      <c r="O5" s="147"/>
    </row>
    <row r="6" spans="1:15">
      <c r="A6" s="41"/>
      <c r="C6" t="s">
        <v>99</v>
      </c>
      <c r="D6" s="136">
        <v>3</v>
      </c>
      <c r="E6" s="41"/>
      <c r="F6" s="41"/>
      <c r="G6" s="41"/>
      <c r="H6" s="41"/>
      <c r="I6" s="41"/>
      <c r="J6" s="147"/>
      <c r="K6" s="150"/>
      <c r="L6" s="150"/>
      <c r="M6" s="148"/>
      <c r="N6" s="148"/>
      <c r="O6" s="147"/>
    </row>
    <row r="7" spans="1:15">
      <c r="A7" s="41"/>
      <c r="B7" t="s">
        <v>97</v>
      </c>
      <c r="D7" s="41"/>
      <c r="E7" s="41"/>
      <c r="F7" s="41" t="s">
        <v>102</v>
      </c>
      <c r="G7" s="41"/>
      <c r="H7" s="41"/>
      <c r="I7" s="41"/>
      <c r="J7" s="147"/>
      <c r="K7" s="150"/>
      <c r="L7" s="150"/>
      <c r="M7" s="148"/>
      <c r="N7" s="148"/>
      <c r="O7" s="147"/>
    </row>
    <row r="8" spans="1:15">
      <c r="A8" s="41"/>
      <c r="C8" t="s">
        <v>100</v>
      </c>
      <c r="D8" s="136">
        <v>19</v>
      </c>
      <c r="E8" s="41"/>
      <c r="F8" s="41"/>
      <c r="G8" s="41" t="s">
        <v>45</v>
      </c>
      <c r="H8" s="138">
        <v>1</v>
      </c>
      <c r="I8" s="41"/>
      <c r="J8" s="147"/>
      <c r="K8" s="150"/>
      <c r="L8" s="150"/>
      <c r="M8" s="148"/>
      <c r="N8" s="148"/>
      <c r="O8" s="147"/>
    </row>
    <row r="9" spans="1:15">
      <c r="A9" s="41"/>
      <c r="B9" t="s">
        <v>98</v>
      </c>
      <c r="D9" s="41"/>
      <c r="E9" s="41"/>
      <c r="F9" s="41" t="s">
        <v>43</v>
      </c>
      <c r="G9" s="41"/>
      <c r="H9" s="41"/>
      <c r="I9" s="41"/>
      <c r="J9" s="147"/>
      <c r="K9" s="150"/>
      <c r="L9" s="150"/>
      <c r="M9" s="148"/>
      <c r="N9" s="148"/>
      <c r="O9" s="147"/>
    </row>
    <row r="10" spans="1:15">
      <c r="A10" s="41"/>
      <c r="C10" t="s">
        <v>101</v>
      </c>
      <c r="D10" s="136">
        <v>1</v>
      </c>
      <c r="E10" s="41"/>
      <c r="F10" s="41"/>
      <c r="G10" s="41" t="s">
        <v>46</v>
      </c>
      <c r="H10" s="45">
        <v>5000</v>
      </c>
      <c r="I10" s="41"/>
      <c r="J10" s="147"/>
      <c r="K10" s="150"/>
      <c r="L10" s="150"/>
      <c r="M10" s="148"/>
      <c r="N10" s="148"/>
      <c r="O10" s="147"/>
    </row>
    <row r="11" spans="1:15">
      <c r="A11" s="41"/>
      <c r="B11" t="s">
        <v>108</v>
      </c>
      <c r="D11" s="41"/>
      <c r="E11" s="41"/>
      <c r="F11" s="41" t="s">
        <v>81</v>
      </c>
      <c r="G11" s="41"/>
      <c r="H11" s="41"/>
      <c r="I11" s="41"/>
      <c r="J11" s="147"/>
      <c r="K11" s="150"/>
      <c r="L11" s="150"/>
      <c r="M11" s="148"/>
      <c r="N11" s="148"/>
      <c r="O11" s="147"/>
    </row>
    <row r="12" spans="1:15">
      <c r="A12" s="41"/>
      <c r="C12" t="s">
        <v>105</v>
      </c>
      <c r="D12" s="136">
        <v>0</v>
      </c>
      <c r="E12" s="41"/>
      <c r="F12" s="41"/>
      <c r="G12" s="49" t="s">
        <v>47</v>
      </c>
      <c r="H12" s="137">
        <v>3</v>
      </c>
      <c r="I12" s="41"/>
      <c r="J12" s="147"/>
      <c r="K12" s="150"/>
      <c r="L12" s="150"/>
      <c r="M12" s="148"/>
      <c r="N12" s="148"/>
      <c r="O12" s="147"/>
    </row>
    <row r="13" spans="1:15">
      <c r="A13" s="41"/>
      <c r="B13" t="s">
        <v>104</v>
      </c>
      <c r="D13" s="41"/>
      <c r="E13" s="41"/>
      <c r="F13" s="41" t="s">
        <v>51</v>
      </c>
      <c r="G13" s="41"/>
      <c r="H13" s="41"/>
      <c r="I13" s="41"/>
      <c r="J13" s="147"/>
      <c r="K13" s="150"/>
      <c r="L13" s="150"/>
      <c r="M13" s="148"/>
      <c r="N13" s="148"/>
      <c r="O13" s="147"/>
    </row>
    <row r="14" spans="1:15">
      <c r="A14" s="41"/>
      <c r="C14" t="s">
        <v>107</v>
      </c>
      <c r="D14" s="138">
        <v>16</v>
      </c>
      <c r="E14" s="41"/>
      <c r="F14" s="41"/>
      <c r="G14" s="41" t="s">
        <v>52</v>
      </c>
      <c r="H14" s="45">
        <f>+表紙!S9</f>
        <v>1</v>
      </c>
      <c r="I14" s="41"/>
      <c r="J14" s="147"/>
      <c r="K14" s="150"/>
      <c r="L14" s="150"/>
      <c r="M14" s="148"/>
      <c r="N14" s="148"/>
      <c r="O14" s="147"/>
    </row>
    <row r="15" spans="1:15">
      <c r="A15" s="41"/>
      <c r="B15" t="s">
        <v>201</v>
      </c>
      <c r="D15" s="41"/>
      <c r="E15" s="41"/>
      <c r="F15" s="41" t="s">
        <v>53</v>
      </c>
      <c r="G15" s="41"/>
      <c r="H15" s="41"/>
      <c r="I15" s="41"/>
      <c r="J15" s="147"/>
      <c r="K15" s="150"/>
      <c r="L15" s="150"/>
      <c r="M15" s="148"/>
      <c r="N15" s="148"/>
      <c r="O15" s="147"/>
    </row>
    <row r="16" spans="1:15">
      <c r="A16" s="41"/>
      <c r="C16" t="s">
        <v>193</v>
      </c>
      <c r="D16" s="45">
        <v>1</v>
      </c>
      <c r="E16" s="41"/>
      <c r="F16" s="41"/>
      <c r="G16" s="41" t="s">
        <v>202</v>
      </c>
      <c r="H16" s="138">
        <v>2</v>
      </c>
      <c r="I16" s="41"/>
      <c r="J16" s="147"/>
      <c r="K16" s="150"/>
      <c r="L16" s="150"/>
      <c r="M16" s="148"/>
      <c r="N16" s="148"/>
      <c r="O16" s="147"/>
    </row>
    <row r="17" spans="1:15">
      <c r="A17" s="41"/>
      <c r="B17" t="s">
        <v>194</v>
      </c>
      <c r="D17" s="41"/>
      <c r="E17" s="41"/>
      <c r="F17" s="41" t="s">
        <v>54</v>
      </c>
      <c r="G17" s="41"/>
      <c r="H17" s="139"/>
      <c r="I17" s="41"/>
      <c r="J17" s="147"/>
      <c r="K17" s="150"/>
      <c r="L17" s="150"/>
      <c r="M17" s="148"/>
      <c r="N17" s="148"/>
      <c r="O17" s="147"/>
    </row>
    <row r="18" spans="1:15">
      <c r="A18" s="41"/>
      <c r="C18" t="s">
        <v>195</v>
      </c>
      <c r="D18" s="219"/>
      <c r="E18" s="41"/>
      <c r="F18" s="41"/>
      <c r="G18" s="41" t="s">
        <v>55</v>
      </c>
      <c r="H18" s="138">
        <f>工事2!J2</f>
        <v>11</v>
      </c>
      <c r="I18" s="41"/>
      <c r="J18" s="147"/>
      <c r="K18" s="150"/>
      <c r="L18" s="150"/>
      <c r="M18" s="148"/>
      <c r="N18" s="148"/>
      <c r="O18" s="147"/>
    </row>
    <row r="19" spans="1:15">
      <c r="A19" s="41"/>
      <c r="C19" t="s">
        <v>196</v>
      </c>
      <c r="D19" s="219"/>
      <c r="E19" s="41"/>
      <c r="F19" s="41" t="s">
        <v>57</v>
      </c>
      <c r="G19" s="41"/>
      <c r="H19" s="139"/>
      <c r="I19" s="41"/>
      <c r="J19" s="147"/>
      <c r="K19" s="150"/>
      <c r="L19" s="150"/>
      <c r="M19" s="148"/>
      <c r="N19" s="148"/>
      <c r="O19" s="147"/>
    </row>
    <row r="20" spans="1:15">
      <c r="A20" s="41"/>
      <c r="D20" s="41"/>
      <c r="E20" s="41"/>
      <c r="F20" s="41"/>
      <c r="G20" s="41" t="s">
        <v>58</v>
      </c>
      <c r="H20" s="138">
        <f>COUNTA(代価一覧!C2:C65536)</f>
        <v>12</v>
      </c>
      <c r="I20" s="41"/>
    </row>
    <row r="21" spans="1:15">
      <c r="A21" s="41"/>
      <c r="D21" s="41"/>
      <c r="E21" s="41"/>
      <c r="F21" s="44" t="s">
        <v>114</v>
      </c>
      <c r="G21" s="44"/>
      <c r="H21" s="42" t="str">
        <f>+表紙!W8</f>
        <v>変更諸経費表2018【作成中】.xls</v>
      </c>
      <c r="I21" s="41"/>
    </row>
    <row r="22" spans="1:15">
      <c r="A22" s="41"/>
      <c r="D22" s="41"/>
      <c r="E22" s="41"/>
      <c r="F22" s="48" t="s">
        <v>115</v>
      </c>
      <c r="G22" s="44"/>
      <c r="H22" s="43" t="str">
        <f>+表紙!W9</f>
        <v>c:\積算\</v>
      </c>
      <c r="I22" s="41"/>
    </row>
    <row r="23" spans="1:15" ht="17">
      <c r="A23" s="41"/>
      <c r="D23" s="41"/>
      <c r="E23" s="41"/>
      <c r="F23" s="41"/>
      <c r="G23" s="41"/>
      <c r="H23" s="80"/>
      <c r="I23" s="41"/>
    </row>
    <row r="24" spans="1:15">
      <c r="A24" s="41"/>
      <c r="B24" t="s">
        <v>198</v>
      </c>
      <c r="E24" s="41"/>
      <c r="F24" s="41" t="s">
        <v>63</v>
      </c>
      <c r="G24" s="41"/>
      <c r="H24" s="41"/>
      <c r="I24" s="41"/>
    </row>
    <row r="25" spans="1:15">
      <c r="A25" s="41"/>
      <c r="C25" t="s">
        <v>197</v>
      </c>
      <c r="D25" s="136">
        <v>9</v>
      </c>
      <c r="E25" s="41"/>
      <c r="F25" s="41"/>
      <c r="G25" s="41" t="s">
        <v>64</v>
      </c>
      <c r="H25" s="45" t="s">
        <v>277</v>
      </c>
      <c r="I25" s="41"/>
    </row>
    <row r="26" spans="1:15">
      <c r="A26" s="41"/>
      <c r="B26" t="s">
        <v>199</v>
      </c>
      <c r="E26" s="41"/>
      <c r="F26" s="41" t="s">
        <v>121</v>
      </c>
      <c r="G26" s="41"/>
      <c r="H26" s="41"/>
      <c r="I26" s="41"/>
    </row>
    <row r="27" spans="1:15" ht="15" thickBot="1">
      <c r="A27" s="41"/>
      <c r="C27" t="s">
        <v>197</v>
      </c>
      <c r="D27" s="136" t="s">
        <v>200</v>
      </c>
      <c r="E27" s="41"/>
      <c r="F27" s="41"/>
      <c r="G27" s="151" t="s">
        <v>120</v>
      </c>
      <c r="H27" s="105" t="e">
        <f>SUM(H9:H26)+H4</f>
        <v>#VALUE!</v>
      </c>
      <c r="I27" s="105">
        <f>SUM(I9:I26)+I4</f>
        <v>0</v>
      </c>
      <c r="J27" s="827">
        <f>IF(B8="部分撤去工事",(J4+K27),0)</f>
        <v>0</v>
      </c>
      <c r="K27" s="826">
        <f>IF(B8="部分撤去工事",SUMIF(M9:M26,"費用",H9:H26),0)</f>
        <v>0</v>
      </c>
    </row>
    <row r="28" spans="1:15">
      <c r="A28" s="41"/>
      <c r="D28" s="41"/>
      <c r="E28" s="41"/>
      <c r="F28" s="41" t="s">
        <v>82</v>
      </c>
      <c r="G28" s="41"/>
      <c r="H28" s="41"/>
      <c r="I28" s="41"/>
    </row>
    <row r="29" spans="1:15">
      <c r="A29" s="41"/>
      <c r="D29" s="41"/>
      <c r="E29" s="41"/>
      <c r="F29" s="41"/>
      <c r="G29" s="41" t="s">
        <v>83</v>
      </c>
      <c r="H29" s="45">
        <v>0</v>
      </c>
      <c r="I29" s="41"/>
    </row>
    <row r="30" spans="1:15">
      <c r="A30" s="41"/>
      <c r="B30" s="41"/>
      <c r="C30" s="41"/>
      <c r="D30" s="41"/>
      <c r="E30" s="41"/>
      <c r="F30" s="41" t="s">
        <v>116</v>
      </c>
      <c r="G30" s="41"/>
      <c r="H30" s="41"/>
      <c r="I30" s="41"/>
    </row>
    <row r="31" spans="1:15">
      <c r="G31" s="41" t="s">
        <v>117</v>
      </c>
      <c r="H31" s="387" t="s">
        <v>2508</v>
      </c>
    </row>
    <row r="32" spans="1:15">
      <c r="G32" s="41" t="s">
        <v>118</v>
      </c>
      <c r="H32" s="387" t="s">
        <v>2511</v>
      </c>
    </row>
    <row r="33" spans="7:8">
      <c r="G33" s="41" t="s">
        <v>119</v>
      </c>
      <c r="H33" s="387" t="s">
        <v>2512</v>
      </c>
    </row>
    <row r="35" spans="7:8">
      <c r="G35" s="41"/>
    </row>
    <row r="50" spans="1:34" s="1" customFormat="1" ht="26" customHeight="1" thickBot="1">
      <c r="A50" s="6"/>
      <c r="B50" s="6"/>
      <c r="C50" s="2741" t="s">
        <v>320</v>
      </c>
      <c r="D50" s="2741"/>
      <c r="E50" s="2741"/>
      <c r="F50" s="2741"/>
      <c r="G50" s="2741"/>
      <c r="H50" s="2741"/>
      <c r="I50" s="2741"/>
      <c r="J50" s="2741"/>
      <c r="K50" s="2741"/>
      <c r="L50" s="2741"/>
      <c r="O50" s="2745" t="s">
        <v>132</v>
      </c>
      <c r="P50" s="2745"/>
      <c r="Q50" s="2745"/>
      <c r="R50" s="2745"/>
      <c r="S50" s="2745"/>
      <c r="T50" s="2745"/>
      <c r="U50" s="2745"/>
      <c r="V50" s="2745"/>
      <c r="W50" s="2745"/>
      <c r="X50" s="2745"/>
      <c r="Y50" s="2745"/>
      <c r="Z50" s="2745"/>
      <c r="AA50" s="2745"/>
      <c r="AB50" s="2745"/>
      <c r="AC50" s="2745"/>
      <c r="AD50" s="2745"/>
      <c r="AE50" s="2745"/>
      <c r="AF50" s="2745"/>
      <c r="AG50" s="2745"/>
      <c r="AH50" s="2746"/>
    </row>
    <row r="51" spans="1:34" s="1" customFormat="1" ht="41.25" customHeight="1">
      <c r="A51" s="5" t="s">
        <v>12</v>
      </c>
      <c r="B51" s="5" t="s">
        <v>44</v>
      </c>
      <c r="C51" s="110" t="s">
        <v>0</v>
      </c>
      <c r="D51" s="106"/>
      <c r="E51" s="107" t="s">
        <v>1</v>
      </c>
      <c r="F51" s="108" t="s">
        <v>2</v>
      </c>
      <c r="G51" s="108" t="s">
        <v>3</v>
      </c>
      <c r="H51" s="109" t="s">
        <v>4</v>
      </c>
      <c r="I51" s="109" t="s">
        <v>5</v>
      </c>
      <c r="J51" s="2742" t="s">
        <v>6</v>
      </c>
      <c r="K51" s="2743"/>
      <c r="L51" s="2744"/>
      <c r="M51" s="521"/>
      <c r="N51" s="522" t="s">
        <v>378</v>
      </c>
      <c r="O51" s="154" t="s">
        <v>67</v>
      </c>
      <c r="P51" s="386" t="s">
        <v>303</v>
      </c>
      <c r="Q51" s="276" t="s">
        <v>304</v>
      </c>
      <c r="R51" s="276" t="s">
        <v>212</v>
      </c>
      <c r="S51" s="276" t="s">
        <v>213</v>
      </c>
      <c r="T51" s="276" t="s">
        <v>305</v>
      </c>
      <c r="U51" s="276" t="s">
        <v>126</v>
      </c>
      <c r="V51" s="153" t="s">
        <v>125</v>
      </c>
      <c r="W51" s="276" t="s">
        <v>311</v>
      </c>
      <c r="X51" s="220" t="s">
        <v>214</v>
      </c>
      <c r="Y51" s="220" t="s">
        <v>215</v>
      </c>
      <c r="Z51" s="220" t="s">
        <v>216</v>
      </c>
      <c r="AA51" s="220" t="s">
        <v>217</v>
      </c>
      <c r="AB51" s="220" t="s">
        <v>312</v>
      </c>
      <c r="AC51" s="458" t="s">
        <v>313</v>
      </c>
      <c r="AD51" s="459" t="s">
        <v>314</v>
      </c>
      <c r="AE51" s="460" t="s">
        <v>128</v>
      </c>
      <c r="AF51" s="152" t="s">
        <v>315</v>
      </c>
      <c r="AG51" s="152" t="s">
        <v>316</v>
      </c>
      <c r="AH51" s="152" t="s">
        <v>130</v>
      </c>
    </row>
    <row r="52" spans="1:34" s="1" customFormat="1" ht="24" customHeight="1">
      <c r="A52" s="38"/>
      <c r="B52" s="38"/>
      <c r="C52" s="128"/>
      <c r="D52" s="129"/>
      <c r="E52" s="130"/>
      <c r="F52" s="273"/>
      <c r="G52" s="98"/>
      <c r="H52" s="90" t="s">
        <v>11</v>
      </c>
      <c r="I52" s="90" t="s">
        <v>11</v>
      </c>
      <c r="J52" s="2738"/>
      <c r="K52" s="2739"/>
      <c r="L52" s="2740"/>
      <c r="M52" s="523"/>
      <c r="N52" s="524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0"/>
      <c r="AC52" s="229"/>
      <c r="AD52" s="461"/>
      <c r="AE52" s="462"/>
      <c r="AF52" s="229"/>
      <c r="AG52" s="229"/>
      <c r="AH52" s="463"/>
    </row>
    <row r="53" spans="1:34" s="39" customFormat="1" ht="24" customHeight="1">
      <c r="A53" s="38"/>
      <c r="B53" s="38"/>
      <c r="C53" s="124"/>
      <c r="D53" s="125"/>
      <c r="E53" s="114"/>
      <c r="F53" s="274"/>
      <c r="G53" s="115"/>
      <c r="H53" s="131"/>
      <c r="I53" s="101" t="str">
        <f t="shared" ref="I53:I70" si="0">IF(F53="","",INT(F53*H53))</f>
        <v/>
      </c>
      <c r="J53" s="64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0"/>
      <c r="AC53" s="229"/>
      <c r="AD53" s="461"/>
      <c r="AE53" s="462"/>
      <c r="AF53" s="229"/>
      <c r="AG53" s="229"/>
      <c r="AH53" s="213"/>
    </row>
    <row r="54" spans="1:34" s="39" customFormat="1" ht="24" customHeight="1">
      <c r="A54" s="38"/>
      <c r="B54" s="38"/>
      <c r="C54" s="124"/>
      <c r="D54" s="125"/>
      <c r="E54" s="114"/>
      <c r="F54" s="274"/>
      <c r="G54" s="115"/>
      <c r="H54" s="131"/>
      <c r="I54" s="101" t="str">
        <f t="shared" si="0"/>
        <v/>
      </c>
      <c r="J54" s="64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0"/>
      <c r="AC54" s="229"/>
      <c r="AD54" s="461"/>
      <c r="AE54" s="462"/>
      <c r="AF54" s="229"/>
      <c r="AG54" s="229"/>
      <c r="AH54" s="213"/>
    </row>
    <row r="55" spans="1:34" s="39" customFormat="1" ht="24" customHeight="1">
      <c r="A55" s="38"/>
      <c r="B55" s="38"/>
      <c r="C55" s="124"/>
      <c r="D55" s="125"/>
      <c r="E55" s="114"/>
      <c r="F55" s="274"/>
      <c r="G55" s="115"/>
      <c r="H55" s="131"/>
      <c r="I55" s="101" t="str">
        <f t="shared" si="0"/>
        <v/>
      </c>
      <c r="J55" s="64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0"/>
      <c r="AC55" s="229"/>
      <c r="AD55" s="461"/>
      <c r="AE55" s="462"/>
      <c r="AF55" s="229"/>
      <c r="AG55" s="229"/>
      <c r="AH55" s="213"/>
    </row>
    <row r="56" spans="1:34" s="39" customFormat="1" ht="24" customHeight="1">
      <c r="A56" s="38"/>
      <c r="B56" s="38"/>
      <c r="C56" s="124"/>
      <c r="D56" s="125"/>
      <c r="E56" s="114"/>
      <c r="F56" s="274"/>
      <c r="G56" s="115"/>
      <c r="H56" s="131"/>
      <c r="I56" s="101" t="str">
        <f t="shared" si="0"/>
        <v/>
      </c>
      <c r="J56" s="64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0"/>
      <c r="AC56" s="229"/>
      <c r="AD56" s="461"/>
      <c r="AE56" s="462"/>
      <c r="AF56" s="229"/>
      <c r="AG56" s="229"/>
      <c r="AH56" s="213"/>
    </row>
    <row r="57" spans="1:34" s="39" customFormat="1" ht="24" customHeight="1">
      <c r="A57" s="38"/>
      <c r="B57" s="38"/>
      <c r="C57" s="124"/>
      <c r="D57" s="125"/>
      <c r="E57" s="114"/>
      <c r="F57" s="274"/>
      <c r="G57" s="115"/>
      <c r="H57" s="131"/>
      <c r="I57" s="101" t="str">
        <f t="shared" si="0"/>
        <v/>
      </c>
      <c r="J57" s="64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0"/>
      <c r="AC57" s="229"/>
      <c r="AD57" s="461"/>
      <c r="AE57" s="462"/>
      <c r="AF57" s="229"/>
      <c r="AG57" s="229"/>
      <c r="AH57" s="213"/>
    </row>
    <row r="58" spans="1:34" s="39" customFormat="1" ht="24" customHeight="1">
      <c r="A58" s="38"/>
      <c r="B58" s="38"/>
      <c r="C58" s="124"/>
      <c r="D58" s="125"/>
      <c r="E58" s="114"/>
      <c r="F58" s="274"/>
      <c r="G58" s="115"/>
      <c r="H58" s="131"/>
      <c r="I58" s="101" t="str">
        <f t="shared" si="0"/>
        <v/>
      </c>
      <c r="J58" s="64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0"/>
      <c r="AC58" s="229"/>
      <c r="AD58" s="461"/>
      <c r="AE58" s="462"/>
      <c r="AF58" s="229"/>
      <c r="AG58" s="229"/>
      <c r="AH58" s="213"/>
    </row>
    <row r="59" spans="1:34" s="39" customFormat="1" ht="24" customHeight="1">
      <c r="A59" s="38"/>
      <c r="B59" s="38"/>
      <c r="C59" s="124"/>
      <c r="D59" s="125"/>
      <c r="E59" s="114"/>
      <c r="F59" s="274"/>
      <c r="G59" s="115"/>
      <c r="H59" s="131"/>
      <c r="I59" s="101" t="str">
        <f t="shared" si="0"/>
        <v/>
      </c>
      <c r="J59" s="64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0"/>
      <c r="AC59" s="229"/>
      <c r="AD59" s="461"/>
      <c r="AE59" s="462"/>
      <c r="AF59" s="229"/>
      <c r="AG59" s="229"/>
      <c r="AH59" s="213"/>
    </row>
    <row r="60" spans="1:34" s="39" customFormat="1" ht="24" customHeight="1">
      <c r="A60" s="38"/>
      <c r="B60" s="38"/>
      <c r="C60" s="124"/>
      <c r="D60" s="125"/>
      <c r="E60" s="114"/>
      <c r="F60" s="274"/>
      <c r="G60" s="115"/>
      <c r="H60" s="131"/>
      <c r="I60" s="101" t="str">
        <f t="shared" si="0"/>
        <v/>
      </c>
      <c r="J60" s="64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0"/>
      <c r="AC60" s="229"/>
      <c r="AD60" s="461"/>
      <c r="AE60" s="462"/>
      <c r="AF60" s="229"/>
      <c r="AG60" s="229"/>
      <c r="AH60" s="213"/>
    </row>
    <row r="61" spans="1:34" s="39" customFormat="1" ht="24" customHeight="1">
      <c r="A61" s="38"/>
      <c r="B61" s="38"/>
      <c r="C61" s="124"/>
      <c r="D61" s="125"/>
      <c r="E61" s="114"/>
      <c r="F61" s="274"/>
      <c r="G61" s="115"/>
      <c r="H61" s="131"/>
      <c r="I61" s="101" t="str">
        <f t="shared" si="0"/>
        <v/>
      </c>
      <c r="J61" s="64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0"/>
      <c r="AC61" s="229"/>
      <c r="AD61" s="461"/>
      <c r="AE61" s="462"/>
      <c r="AF61" s="229"/>
      <c r="AG61" s="229"/>
      <c r="AH61" s="213"/>
    </row>
    <row r="62" spans="1:34" s="39" customFormat="1" ht="24" customHeight="1">
      <c r="A62" s="38"/>
      <c r="B62" s="38"/>
      <c r="C62" s="124"/>
      <c r="D62" s="125"/>
      <c r="E62" s="114"/>
      <c r="F62" s="274"/>
      <c r="G62" s="115"/>
      <c r="H62" s="131"/>
      <c r="I62" s="101" t="str">
        <f t="shared" si="0"/>
        <v/>
      </c>
      <c r="J62" s="64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0"/>
      <c r="AC62" s="229"/>
      <c r="AD62" s="461"/>
      <c r="AE62" s="462"/>
      <c r="AF62" s="229"/>
      <c r="AG62" s="229"/>
      <c r="AH62" s="213"/>
    </row>
    <row r="63" spans="1:34" s="39" customFormat="1" ht="24" customHeight="1">
      <c r="A63" s="38"/>
      <c r="B63" s="38"/>
      <c r="C63" s="124"/>
      <c r="D63" s="125"/>
      <c r="E63" s="114"/>
      <c r="F63" s="274"/>
      <c r="G63" s="115"/>
      <c r="H63" s="131"/>
      <c r="I63" s="101" t="str">
        <f t="shared" si="0"/>
        <v/>
      </c>
      <c r="J63" s="64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0"/>
      <c r="AC63" s="229"/>
      <c r="AD63" s="461"/>
      <c r="AE63" s="462"/>
      <c r="AF63" s="229"/>
      <c r="AG63" s="229"/>
      <c r="AH63" s="213"/>
    </row>
    <row r="64" spans="1:34" s="39" customFormat="1" ht="24" customHeight="1">
      <c r="A64" s="38"/>
      <c r="B64" s="38"/>
      <c r="C64" s="124"/>
      <c r="D64" s="125"/>
      <c r="E64" s="114"/>
      <c r="F64" s="274"/>
      <c r="G64" s="115"/>
      <c r="H64" s="131"/>
      <c r="I64" s="101" t="str">
        <f t="shared" si="0"/>
        <v/>
      </c>
      <c r="J64" s="64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0"/>
      <c r="AC64" s="229"/>
      <c r="AD64" s="461"/>
      <c r="AE64" s="462"/>
      <c r="AF64" s="229"/>
      <c r="AG64" s="229"/>
      <c r="AH64" s="213"/>
    </row>
    <row r="65" spans="1:34" s="39" customFormat="1" ht="24" customHeight="1">
      <c r="A65" s="38"/>
      <c r="B65" s="38"/>
      <c r="C65" s="124"/>
      <c r="D65" s="125"/>
      <c r="E65" s="114"/>
      <c r="F65" s="274"/>
      <c r="G65" s="115"/>
      <c r="H65" s="131"/>
      <c r="I65" s="101" t="str">
        <f t="shared" si="0"/>
        <v/>
      </c>
      <c r="J65" s="64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0"/>
      <c r="AC65" s="229"/>
      <c r="AD65" s="461"/>
      <c r="AE65" s="462"/>
      <c r="AF65" s="229"/>
      <c r="AG65" s="229"/>
      <c r="AH65" s="213"/>
    </row>
    <row r="66" spans="1:34" s="39" customFormat="1" ht="24" customHeight="1">
      <c r="A66" s="38"/>
      <c r="B66" s="38"/>
      <c r="C66" s="124"/>
      <c r="D66" s="125"/>
      <c r="E66" s="114"/>
      <c r="F66" s="274"/>
      <c r="G66" s="115"/>
      <c r="H66" s="131"/>
      <c r="I66" s="101" t="str">
        <f t="shared" si="0"/>
        <v/>
      </c>
      <c r="J66" s="64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0"/>
      <c r="AC66" s="229"/>
      <c r="AD66" s="461"/>
      <c r="AE66" s="462"/>
      <c r="AF66" s="229"/>
      <c r="AG66" s="229"/>
      <c r="AH66" s="213"/>
    </row>
    <row r="67" spans="1:34" s="39" customFormat="1" ht="24" customHeight="1">
      <c r="A67" s="38"/>
      <c r="B67" s="38"/>
      <c r="C67" s="124"/>
      <c r="D67" s="125"/>
      <c r="E67" s="114"/>
      <c r="F67" s="274"/>
      <c r="G67" s="115"/>
      <c r="H67" s="131"/>
      <c r="I67" s="101" t="str">
        <f t="shared" si="0"/>
        <v/>
      </c>
      <c r="J67" s="64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0"/>
      <c r="AC67" s="229"/>
      <c r="AD67" s="461"/>
      <c r="AE67" s="462"/>
      <c r="AF67" s="229"/>
      <c r="AG67" s="229"/>
      <c r="AH67" s="213"/>
    </row>
    <row r="68" spans="1:34" s="39" customFormat="1" ht="24" customHeight="1">
      <c r="A68" s="38"/>
      <c r="B68" s="38"/>
      <c r="C68" s="124"/>
      <c r="D68" s="125"/>
      <c r="E68" s="114"/>
      <c r="F68" s="274"/>
      <c r="G68" s="115"/>
      <c r="H68" s="131"/>
      <c r="I68" s="101" t="str">
        <f t="shared" si="0"/>
        <v/>
      </c>
      <c r="J68" s="64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0"/>
      <c r="AC68" s="229"/>
      <c r="AD68" s="461"/>
      <c r="AE68" s="462"/>
      <c r="AF68" s="229"/>
      <c r="AG68" s="229"/>
      <c r="AH68" s="213"/>
    </row>
    <row r="69" spans="1:34" s="39" customFormat="1" ht="24" customHeight="1">
      <c r="A69" s="38"/>
      <c r="B69" s="38"/>
      <c r="C69" s="124"/>
      <c r="D69" s="125"/>
      <c r="E69" s="114"/>
      <c r="F69" s="274"/>
      <c r="G69" s="115"/>
      <c r="H69" s="131"/>
      <c r="I69" s="101" t="str">
        <f t="shared" si="0"/>
        <v/>
      </c>
      <c r="J69" s="64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0"/>
      <c r="AC69" s="229"/>
      <c r="AD69" s="461"/>
      <c r="AE69" s="462"/>
      <c r="AF69" s="229"/>
      <c r="AG69" s="229"/>
      <c r="AH69" s="213"/>
    </row>
    <row r="70" spans="1:34" s="39" customFormat="1" ht="24" customHeight="1">
      <c r="A70" s="38"/>
      <c r="B70" s="38"/>
      <c r="C70" s="124"/>
      <c r="D70" s="125"/>
      <c r="E70" s="114"/>
      <c r="F70" s="274"/>
      <c r="G70" s="115"/>
      <c r="H70" s="131"/>
      <c r="I70" s="101" t="str">
        <f t="shared" si="0"/>
        <v/>
      </c>
      <c r="J70" s="64"/>
      <c r="K70" s="65"/>
      <c r="L70" s="66"/>
      <c r="M70" s="525"/>
      <c r="N70" s="520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0"/>
      <c r="AC70" s="229"/>
      <c r="AD70" s="461"/>
      <c r="AE70" s="462"/>
      <c r="AF70" s="229"/>
      <c r="AG70" s="229"/>
      <c r="AH70" s="213"/>
    </row>
    <row r="71" spans="1:34" s="1" customFormat="1" ht="24" customHeight="1" thickBot="1">
      <c r="A71" s="38"/>
      <c r="B71" s="38"/>
      <c r="C71" s="103"/>
      <c r="D71" s="92" t="s">
        <v>8</v>
      </c>
      <c r="E71" s="104"/>
      <c r="F71" s="275"/>
      <c r="G71" s="118"/>
      <c r="H71" s="127" t="s">
        <v>88</v>
      </c>
      <c r="I71" s="105">
        <f>SUM(I53:I70)</f>
        <v>0</v>
      </c>
      <c r="J71" s="828" t="str">
        <f>IF(C52="部分撤去工事","）うち費用",")")</f>
        <v>)</v>
      </c>
      <c r="K71" s="827">
        <f>IF(C52="部分撤去工事",(K48+L71),0)</f>
        <v>0</v>
      </c>
      <c r="L71" s="826">
        <f>IF(C52="部分撤去工事",SUMIF(N53:N70,"費用",I53:I70),0)</f>
        <v>0</v>
      </c>
      <c r="M71" s="526"/>
      <c r="N71" s="527"/>
      <c r="O71" s="227"/>
      <c r="P71" s="228"/>
      <c r="Q71" s="229"/>
      <c r="R71" s="229"/>
      <c r="S71" s="229"/>
      <c r="T71" s="229"/>
      <c r="U71" s="229"/>
      <c r="V71" s="229"/>
      <c r="W71" s="229"/>
      <c r="X71" s="230"/>
      <c r="Y71" s="230"/>
      <c r="Z71" s="230"/>
      <c r="AA71" s="230"/>
      <c r="AB71" s="230"/>
      <c r="AC71" s="229"/>
      <c r="AD71" s="461"/>
      <c r="AE71" s="462"/>
      <c r="AF71" s="229"/>
      <c r="AG71" s="229"/>
      <c r="AH71" s="463"/>
    </row>
    <row r="72" spans="1:34" s="1" customFormat="1" ht="14.25" customHeight="1">
      <c r="A72" s="6"/>
      <c r="B72" s="6"/>
      <c r="E72" s="120" t="s">
        <v>86</v>
      </c>
      <c r="F72" s="121">
        <f>+F49+1</f>
        <v>1</v>
      </c>
      <c r="G72" s="122" t="s">
        <v>87</v>
      </c>
      <c r="H72" s="123">
        <f>+H49</f>
        <v>0</v>
      </c>
      <c r="I72" s="123"/>
      <c r="M72" s="33" t="str">
        <f>IF(A74="","EOL","")</f>
        <v>EOL</v>
      </c>
      <c r="N72" s="1">
        <f>+F72</f>
        <v>1</v>
      </c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</row>
    <row r="73" spans="1:34"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</row>
    <row r="74" spans="1:34"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</row>
    <row r="75" spans="1:34"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</row>
    <row r="76" spans="1:34" s="39" customFormat="1" ht="24" customHeight="1">
      <c r="A76" s="38"/>
      <c r="B76" s="38"/>
      <c r="C76" s="124"/>
      <c r="D76" s="125"/>
      <c r="E76" s="114"/>
      <c r="F76" s="274"/>
      <c r="G76" s="115"/>
      <c r="H76" s="126"/>
      <c r="I76" s="101" t="str">
        <f>IF(F76="","",ROUNDDOWN(F76*H76,0))</f>
        <v/>
      </c>
      <c r="J76" s="64"/>
      <c r="K76" s="65"/>
      <c r="L76" s="66"/>
      <c r="O76" s="227"/>
      <c r="P76" s="228"/>
      <c r="Q76" s="229"/>
      <c r="R76" s="229"/>
      <c r="S76" s="229"/>
      <c r="T76" s="229"/>
      <c r="U76" s="229"/>
      <c r="V76" s="229"/>
      <c r="W76" s="230"/>
      <c r="X76" s="230"/>
      <c r="Y76" s="230"/>
      <c r="Z76" s="230"/>
      <c r="AA76" s="232"/>
      <c r="AB76" s="231"/>
      <c r="AC76" s="229"/>
      <c r="AD76" s="229"/>
      <c r="AE76" s="229"/>
      <c r="AF76" s="229"/>
    </row>
    <row r="77" spans="1:34" s="39" customFormat="1" ht="24" customHeight="1">
      <c r="A77" s="38"/>
      <c r="B77" s="38"/>
      <c r="C77" s="124"/>
      <c r="D77" s="125" t="s">
        <v>8</v>
      </c>
      <c r="E77" s="114"/>
      <c r="F77" s="274"/>
      <c r="G77" s="115"/>
      <c r="H77" s="126" t="s">
        <v>65</v>
      </c>
      <c r="I77" s="101"/>
      <c r="J77" s="64" t="s">
        <v>66</v>
      </c>
      <c r="K77" s="65"/>
      <c r="L77" s="66"/>
      <c r="O77" s="227"/>
      <c r="P77" s="228"/>
      <c r="Q77" s="229"/>
      <c r="R77" s="229"/>
      <c r="S77" s="229"/>
      <c r="T77" s="229"/>
      <c r="U77" s="229"/>
      <c r="V77" s="229"/>
      <c r="W77" s="230"/>
      <c r="X77" s="230"/>
      <c r="Y77" s="230"/>
      <c r="Z77" s="230"/>
      <c r="AA77" s="232"/>
      <c r="AB77" s="231"/>
      <c r="AC77" s="229"/>
      <c r="AD77" s="229"/>
      <c r="AE77" s="229"/>
      <c r="AF77" s="229"/>
    </row>
    <row r="78" spans="1:34" s="39" customFormat="1" ht="24" customHeight="1">
      <c r="A78" s="38"/>
      <c r="B78" s="38"/>
      <c r="C78" s="124"/>
      <c r="D78" s="125"/>
      <c r="E78" s="114"/>
      <c r="F78" s="274"/>
      <c r="G78" s="115"/>
      <c r="H78" s="126"/>
      <c r="I78" s="101"/>
      <c r="J78" s="64"/>
      <c r="K78" s="65"/>
      <c r="L78" s="66"/>
      <c r="O78" s="227"/>
      <c r="P78" s="228"/>
      <c r="Q78" s="229"/>
      <c r="R78" s="229"/>
      <c r="S78" s="229"/>
      <c r="T78" s="229"/>
      <c r="U78" s="229"/>
      <c r="V78" s="229"/>
      <c r="W78" s="230"/>
      <c r="X78" s="230"/>
      <c r="Y78" s="230"/>
      <c r="Z78" s="230"/>
      <c r="AA78" s="232"/>
      <c r="AB78" s="231"/>
      <c r="AC78" s="229"/>
      <c r="AD78" s="229"/>
      <c r="AE78" s="229"/>
      <c r="AF78" s="229"/>
    </row>
    <row r="81" spans="1:15" s="20" customFormat="1" ht="20" customHeight="1" thickBot="1">
      <c r="A81" s="2754" t="s">
        <v>15</v>
      </c>
      <c r="B81" s="2754"/>
      <c r="C81" s="2754"/>
      <c r="D81" s="2754"/>
      <c r="E81" s="2754"/>
      <c r="F81" s="2754"/>
      <c r="G81" s="2754"/>
      <c r="H81" s="2754"/>
      <c r="I81" s="2754"/>
      <c r="J81" s="2754"/>
      <c r="K81" s="2754"/>
      <c r="L81" s="2754"/>
      <c r="M81" s="2754"/>
      <c r="N81" s="24" t="s">
        <v>85</v>
      </c>
      <c r="O81" s="217">
        <f>+O54</f>
        <v>0</v>
      </c>
    </row>
    <row r="82" spans="1:15" s="24" customFormat="1" ht="20" customHeight="1">
      <c r="A82" s="21"/>
      <c r="B82" s="22" t="s">
        <v>16</v>
      </c>
      <c r="C82" s="23" t="s">
        <v>18</v>
      </c>
      <c r="D82" s="23"/>
      <c r="E82" s="75"/>
      <c r="F82" s="55"/>
      <c r="G82" s="70"/>
      <c r="H82" s="2974" t="s">
        <v>236</v>
      </c>
      <c r="I82" s="2975"/>
      <c r="J82" s="2972" t="s">
        <v>237</v>
      </c>
      <c r="K82" s="2975"/>
      <c r="L82" s="2972" t="s">
        <v>238</v>
      </c>
      <c r="M82" s="2973"/>
      <c r="N82" s="2747" t="str">
        <f>IF(G133="",IF(O106=I106,H82,IF(O106=K106,J82,L82)),N109)</f>
        <v>C:</v>
      </c>
      <c r="O82" s="2748"/>
    </row>
    <row r="83" spans="1:15" s="24" customFormat="1" ht="20" customHeight="1" thickBot="1">
      <c r="A83" s="25" t="s">
        <v>239</v>
      </c>
      <c r="B83" s="26" t="s">
        <v>17</v>
      </c>
      <c r="C83" s="27" t="s">
        <v>17</v>
      </c>
      <c r="D83" s="27" t="s">
        <v>19</v>
      </c>
      <c r="E83" s="76" t="s">
        <v>20</v>
      </c>
      <c r="F83" s="56" t="s">
        <v>21</v>
      </c>
      <c r="G83" s="71" t="s">
        <v>22</v>
      </c>
      <c r="H83" s="467" t="s">
        <v>23</v>
      </c>
      <c r="I83" s="468" t="s">
        <v>24</v>
      </c>
      <c r="J83" s="469" t="s">
        <v>23</v>
      </c>
      <c r="K83" s="468" t="s">
        <v>24</v>
      </c>
      <c r="L83" s="469" t="s">
        <v>23</v>
      </c>
      <c r="M83" s="468" t="s">
        <v>24</v>
      </c>
      <c r="N83" s="467" t="s">
        <v>27</v>
      </c>
      <c r="O83" s="470" t="s">
        <v>28</v>
      </c>
    </row>
    <row r="84" spans="1:15" s="20" customFormat="1" ht="20" customHeight="1">
      <c r="A84" s="52"/>
      <c r="B84" s="84"/>
      <c r="C84" s="85"/>
      <c r="D84" s="67"/>
      <c r="E84" s="77"/>
      <c r="F84" s="57"/>
      <c r="G84" s="72"/>
      <c r="H84" s="471"/>
      <c r="I84" s="472" t="str">
        <f t="shared" ref="I84:I105" si="1">IF(H84="","",ROUNDDOWN(H84*F84,0))</f>
        <v/>
      </c>
      <c r="J84" s="473"/>
      <c r="K84" s="472" t="str">
        <f t="shared" ref="K84:K105" si="2">IF(J84="","",ROUNDDOWN(J84*$F84,0))</f>
        <v/>
      </c>
      <c r="L84" s="473"/>
      <c r="M84" s="474" t="str">
        <f t="shared" ref="M84:M105" si="3">IF(L84="","",ROUNDDOWN(L84*$F84,0))</f>
        <v/>
      </c>
      <c r="N84" s="471" t="str">
        <f>IF(F84="","",INT(HLOOKUP(N82,H82:M105,3,FALSE)*O81))</f>
        <v/>
      </c>
      <c r="O84" s="475" t="str">
        <f t="shared" ref="O84:O105" si="4">IF(N84="","",IF(N84&lt;10,INT(N84),IF(N84&lt;10000,ROUNDDOWN(N84,-1),ROUNDDOWN(N84,-2))))</f>
        <v/>
      </c>
    </row>
    <row r="85" spans="1:15" s="20" customFormat="1" ht="20" customHeight="1">
      <c r="A85" s="53"/>
      <c r="B85" s="86"/>
      <c r="C85" s="87"/>
      <c r="D85" s="68"/>
      <c r="E85" s="78"/>
      <c r="F85" s="59"/>
      <c r="G85" s="73"/>
      <c r="H85" s="476"/>
      <c r="I85" s="477" t="str">
        <f t="shared" si="1"/>
        <v/>
      </c>
      <c r="J85" s="478"/>
      <c r="K85" s="477" t="str">
        <f t="shared" si="2"/>
        <v/>
      </c>
      <c r="L85" s="478"/>
      <c r="M85" s="479" t="str">
        <f t="shared" si="3"/>
        <v/>
      </c>
      <c r="N85" s="476" t="str">
        <f>IF(F85="","",INT(HLOOKUP(N82,H82:M105,4,FALSE)*O81))</f>
        <v/>
      </c>
      <c r="O85" s="480" t="str">
        <f t="shared" si="4"/>
        <v/>
      </c>
    </row>
    <row r="86" spans="1:15" s="20" customFormat="1" ht="20" customHeight="1">
      <c r="A86" s="53"/>
      <c r="B86" s="86"/>
      <c r="C86" s="87"/>
      <c r="D86" s="68"/>
      <c r="E86" s="78"/>
      <c r="F86" s="59"/>
      <c r="G86" s="73"/>
      <c r="H86" s="476"/>
      <c r="I86" s="477" t="str">
        <f t="shared" si="1"/>
        <v/>
      </c>
      <c r="J86" s="478"/>
      <c r="K86" s="477" t="str">
        <f t="shared" si="2"/>
        <v/>
      </c>
      <c r="L86" s="478"/>
      <c r="M86" s="479" t="str">
        <f t="shared" si="3"/>
        <v/>
      </c>
      <c r="N86" s="476" t="str">
        <f>IF(F86="","",INT(HLOOKUP(N82,H82:M105,5,FALSE)*O81))</f>
        <v/>
      </c>
      <c r="O86" s="480" t="str">
        <f t="shared" si="4"/>
        <v/>
      </c>
    </row>
    <row r="87" spans="1:15" s="20" customFormat="1" ht="20" customHeight="1">
      <c r="A87" s="53"/>
      <c r="B87" s="86"/>
      <c r="C87" s="87"/>
      <c r="D87" s="68"/>
      <c r="E87" s="78"/>
      <c r="F87" s="59"/>
      <c r="G87" s="73"/>
      <c r="H87" s="476"/>
      <c r="I87" s="477" t="str">
        <f t="shared" si="1"/>
        <v/>
      </c>
      <c r="J87" s="478"/>
      <c r="K87" s="477" t="str">
        <f t="shared" si="2"/>
        <v/>
      </c>
      <c r="L87" s="478"/>
      <c r="M87" s="479" t="str">
        <f t="shared" si="3"/>
        <v/>
      </c>
      <c r="N87" s="476" t="str">
        <f>IF(F87="","",INT(HLOOKUP(N82,H82:M105,6,FALSE)*O81))</f>
        <v/>
      </c>
      <c r="O87" s="480" t="str">
        <f t="shared" si="4"/>
        <v/>
      </c>
    </row>
    <row r="88" spans="1:15" s="20" customFormat="1" ht="20" customHeight="1">
      <c r="A88" s="53"/>
      <c r="B88" s="86"/>
      <c r="C88" s="87"/>
      <c r="D88" s="68"/>
      <c r="E88" s="78"/>
      <c r="F88" s="59"/>
      <c r="G88" s="73"/>
      <c r="H88" s="476"/>
      <c r="I88" s="477" t="str">
        <f t="shared" si="1"/>
        <v/>
      </c>
      <c r="J88" s="478"/>
      <c r="K88" s="477" t="str">
        <f t="shared" si="2"/>
        <v/>
      </c>
      <c r="L88" s="478"/>
      <c r="M88" s="479" t="str">
        <f t="shared" si="3"/>
        <v/>
      </c>
      <c r="N88" s="476" t="str">
        <f>IF(F88="","",INT(HLOOKUP(N82,H82:M105,7,FALSE)*O81))</f>
        <v/>
      </c>
      <c r="O88" s="480" t="str">
        <f t="shared" si="4"/>
        <v/>
      </c>
    </row>
    <row r="89" spans="1:15" s="20" customFormat="1" ht="20" customHeight="1">
      <c r="A89" s="53"/>
      <c r="B89" s="86"/>
      <c r="C89" s="87"/>
      <c r="D89" s="68"/>
      <c r="E89" s="78"/>
      <c r="F89" s="59"/>
      <c r="G89" s="73"/>
      <c r="H89" s="476"/>
      <c r="I89" s="477" t="str">
        <f t="shared" si="1"/>
        <v/>
      </c>
      <c r="J89" s="478"/>
      <c r="K89" s="477" t="str">
        <f t="shared" si="2"/>
        <v/>
      </c>
      <c r="L89" s="478"/>
      <c r="M89" s="479" t="str">
        <f t="shared" si="3"/>
        <v/>
      </c>
      <c r="N89" s="476" t="str">
        <f>IF(F89="","",INT(HLOOKUP(N82,H82:M105,8,FALSE)*O81))</f>
        <v/>
      </c>
      <c r="O89" s="480" t="str">
        <f t="shared" si="4"/>
        <v/>
      </c>
    </row>
    <row r="90" spans="1:15" s="20" customFormat="1" ht="20" customHeight="1">
      <c r="A90" s="53"/>
      <c r="B90" s="86"/>
      <c r="C90" s="87"/>
      <c r="D90" s="68"/>
      <c r="E90" s="78"/>
      <c r="F90" s="59"/>
      <c r="G90" s="73"/>
      <c r="H90" s="476"/>
      <c r="I90" s="477" t="str">
        <f t="shared" si="1"/>
        <v/>
      </c>
      <c r="J90" s="478"/>
      <c r="K90" s="477" t="str">
        <f t="shared" si="2"/>
        <v/>
      </c>
      <c r="L90" s="478"/>
      <c r="M90" s="479" t="str">
        <f t="shared" si="3"/>
        <v/>
      </c>
      <c r="N90" s="476" t="str">
        <f>IF(F90="","",INT(HLOOKUP(N82,H82:M105,9,FALSE)*O81))</f>
        <v/>
      </c>
      <c r="O90" s="480" t="str">
        <f t="shared" si="4"/>
        <v/>
      </c>
    </row>
    <row r="91" spans="1:15" s="20" customFormat="1" ht="20" customHeight="1">
      <c r="A91" s="53"/>
      <c r="B91" s="86"/>
      <c r="C91" s="87"/>
      <c r="D91" s="68"/>
      <c r="E91" s="78"/>
      <c r="F91" s="59"/>
      <c r="G91" s="73"/>
      <c r="H91" s="476"/>
      <c r="I91" s="477" t="str">
        <f t="shared" si="1"/>
        <v/>
      </c>
      <c r="J91" s="478"/>
      <c r="K91" s="477" t="str">
        <f t="shared" si="2"/>
        <v/>
      </c>
      <c r="L91" s="478"/>
      <c r="M91" s="479" t="str">
        <f t="shared" si="3"/>
        <v/>
      </c>
      <c r="N91" s="476" t="str">
        <f>IF(F91="","",INT(HLOOKUP(N82,H82:M105,10,FALSE)*O81))</f>
        <v/>
      </c>
      <c r="O91" s="480" t="str">
        <f t="shared" si="4"/>
        <v/>
      </c>
    </row>
    <row r="92" spans="1:15" s="20" customFormat="1" ht="20" customHeight="1">
      <c r="A92" s="53"/>
      <c r="B92" s="86"/>
      <c r="C92" s="87"/>
      <c r="D92" s="68"/>
      <c r="E92" s="78"/>
      <c r="F92" s="59"/>
      <c r="G92" s="73"/>
      <c r="H92" s="476"/>
      <c r="I92" s="477" t="str">
        <f t="shared" si="1"/>
        <v/>
      </c>
      <c r="J92" s="478"/>
      <c r="K92" s="477" t="str">
        <f t="shared" si="2"/>
        <v/>
      </c>
      <c r="L92" s="478"/>
      <c r="M92" s="479" t="str">
        <f t="shared" si="3"/>
        <v/>
      </c>
      <c r="N92" s="476" t="str">
        <f>IF(F92="","",INT(HLOOKUP(N82,H82:M105,11,FALSE)*O81))</f>
        <v/>
      </c>
      <c r="O92" s="480" t="str">
        <f t="shared" si="4"/>
        <v/>
      </c>
    </row>
    <row r="93" spans="1:15" s="20" customFormat="1" ht="20" customHeight="1">
      <c r="A93" s="53"/>
      <c r="B93" s="86"/>
      <c r="C93" s="87"/>
      <c r="D93" s="68"/>
      <c r="E93" s="78"/>
      <c r="F93" s="59"/>
      <c r="G93" s="73"/>
      <c r="H93" s="476"/>
      <c r="I93" s="477" t="str">
        <f t="shared" si="1"/>
        <v/>
      </c>
      <c r="J93" s="478"/>
      <c r="K93" s="477" t="str">
        <f t="shared" si="2"/>
        <v/>
      </c>
      <c r="L93" s="478"/>
      <c r="M93" s="479" t="str">
        <f t="shared" si="3"/>
        <v/>
      </c>
      <c r="N93" s="476" t="str">
        <f>IF(F93="","",INT(HLOOKUP(N82,H82:M105,12,FALSE)*O81))</f>
        <v/>
      </c>
      <c r="O93" s="480" t="str">
        <f t="shared" si="4"/>
        <v/>
      </c>
    </row>
    <row r="94" spans="1:15" s="20" customFormat="1" ht="20" customHeight="1">
      <c r="A94" s="53"/>
      <c r="B94" s="86"/>
      <c r="C94" s="87"/>
      <c r="D94" s="68"/>
      <c r="E94" s="78"/>
      <c r="F94" s="59"/>
      <c r="G94" s="73"/>
      <c r="H94" s="476"/>
      <c r="I94" s="477" t="str">
        <f t="shared" si="1"/>
        <v/>
      </c>
      <c r="J94" s="478"/>
      <c r="K94" s="477" t="str">
        <f t="shared" si="2"/>
        <v/>
      </c>
      <c r="L94" s="478"/>
      <c r="M94" s="479" t="str">
        <f t="shared" si="3"/>
        <v/>
      </c>
      <c r="N94" s="476" t="str">
        <f>IF(F94="","",INT(HLOOKUP(N82,H82:M105,13,FALSE)*O81))</f>
        <v/>
      </c>
      <c r="O94" s="480" t="str">
        <f t="shared" si="4"/>
        <v/>
      </c>
    </row>
    <row r="95" spans="1:15" s="20" customFormat="1" ht="20" customHeight="1">
      <c r="A95" s="53"/>
      <c r="B95" s="86"/>
      <c r="C95" s="87"/>
      <c r="D95" s="68"/>
      <c r="E95" s="78"/>
      <c r="F95" s="59"/>
      <c r="G95" s="73"/>
      <c r="H95" s="476"/>
      <c r="I95" s="477" t="str">
        <f t="shared" si="1"/>
        <v/>
      </c>
      <c r="J95" s="478"/>
      <c r="K95" s="477" t="str">
        <f t="shared" si="2"/>
        <v/>
      </c>
      <c r="L95" s="478"/>
      <c r="M95" s="479" t="str">
        <f t="shared" si="3"/>
        <v/>
      </c>
      <c r="N95" s="476" t="str">
        <f>IF(F95="","",INT(HLOOKUP(N82,H82:M105,14,FALSE)*O81))</f>
        <v/>
      </c>
      <c r="O95" s="480" t="str">
        <f t="shared" si="4"/>
        <v/>
      </c>
    </row>
    <row r="96" spans="1:15" s="20" customFormat="1" ht="20" customHeight="1">
      <c r="A96" s="53"/>
      <c r="B96" s="86"/>
      <c r="C96" s="87"/>
      <c r="D96" s="68"/>
      <c r="E96" s="78"/>
      <c r="F96" s="59"/>
      <c r="G96" s="73"/>
      <c r="H96" s="476"/>
      <c r="I96" s="477" t="str">
        <f t="shared" si="1"/>
        <v/>
      </c>
      <c r="J96" s="478"/>
      <c r="K96" s="477" t="str">
        <f t="shared" si="2"/>
        <v/>
      </c>
      <c r="L96" s="478"/>
      <c r="M96" s="479" t="str">
        <f t="shared" si="3"/>
        <v/>
      </c>
      <c r="N96" s="476" t="str">
        <f>IF(F96="","",INT(HLOOKUP(N82,H82:M105,15,FALSE)*O81))</f>
        <v/>
      </c>
      <c r="O96" s="480" t="str">
        <f t="shared" si="4"/>
        <v/>
      </c>
    </row>
    <row r="97" spans="1:20" s="20" customFormat="1" ht="20" customHeight="1">
      <c r="A97" s="53"/>
      <c r="B97" s="86"/>
      <c r="C97" s="87"/>
      <c r="D97" s="68"/>
      <c r="E97" s="78"/>
      <c r="F97" s="59"/>
      <c r="G97" s="73"/>
      <c r="H97" s="476"/>
      <c r="I97" s="477" t="str">
        <f t="shared" si="1"/>
        <v/>
      </c>
      <c r="J97" s="478"/>
      <c r="K97" s="477" t="str">
        <f t="shared" si="2"/>
        <v/>
      </c>
      <c r="L97" s="478"/>
      <c r="M97" s="479" t="str">
        <f t="shared" si="3"/>
        <v/>
      </c>
      <c r="N97" s="476" t="str">
        <f>IF(F97="","",INT(HLOOKUP(N82,H82:M105,16,FALSE)*O81))</f>
        <v/>
      </c>
      <c r="O97" s="480" t="str">
        <f t="shared" si="4"/>
        <v/>
      </c>
    </row>
    <row r="98" spans="1:20" s="20" customFormat="1" ht="20" customHeight="1">
      <c r="A98" s="53"/>
      <c r="B98" s="86"/>
      <c r="C98" s="87"/>
      <c r="D98" s="68"/>
      <c r="E98" s="78"/>
      <c r="F98" s="59"/>
      <c r="G98" s="73"/>
      <c r="H98" s="476"/>
      <c r="I98" s="477" t="str">
        <f t="shared" si="1"/>
        <v/>
      </c>
      <c r="J98" s="478"/>
      <c r="K98" s="477" t="str">
        <f t="shared" si="2"/>
        <v/>
      </c>
      <c r="L98" s="478"/>
      <c r="M98" s="479" t="str">
        <f t="shared" si="3"/>
        <v/>
      </c>
      <c r="N98" s="476" t="str">
        <f>IF(F98="","",INT(HLOOKUP(N82,H82:M105,17,FALSE)*O81))</f>
        <v/>
      </c>
      <c r="O98" s="480" t="str">
        <f t="shared" si="4"/>
        <v/>
      </c>
    </row>
    <row r="99" spans="1:20" s="20" customFormat="1" ht="20" customHeight="1">
      <c r="A99" s="53"/>
      <c r="B99" s="86"/>
      <c r="C99" s="87"/>
      <c r="D99" s="68"/>
      <c r="E99" s="78"/>
      <c r="F99" s="59"/>
      <c r="G99" s="73"/>
      <c r="H99" s="476"/>
      <c r="I99" s="477" t="str">
        <f t="shared" si="1"/>
        <v/>
      </c>
      <c r="J99" s="478"/>
      <c r="K99" s="477" t="str">
        <f t="shared" si="2"/>
        <v/>
      </c>
      <c r="L99" s="478"/>
      <c r="M99" s="479" t="str">
        <f t="shared" si="3"/>
        <v/>
      </c>
      <c r="N99" s="476" t="str">
        <f>IF(F99="","",INT(HLOOKUP(N82,H82:M105,18,FALSE)*O81))</f>
        <v/>
      </c>
      <c r="O99" s="480" t="str">
        <f t="shared" si="4"/>
        <v/>
      </c>
    </row>
    <row r="100" spans="1:20" s="20" customFormat="1" ht="20" customHeight="1">
      <c r="A100" s="53"/>
      <c r="B100" s="86"/>
      <c r="C100" s="87"/>
      <c r="D100" s="68"/>
      <c r="E100" s="78"/>
      <c r="F100" s="59"/>
      <c r="G100" s="73"/>
      <c r="H100" s="476"/>
      <c r="I100" s="477" t="str">
        <f t="shared" si="1"/>
        <v/>
      </c>
      <c r="J100" s="478"/>
      <c r="K100" s="477" t="str">
        <f t="shared" si="2"/>
        <v/>
      </c>
      <c r="L100" s="478"/>
      <c r="M100" s="479" t="str">
        <f t="shared" si="3"/>
        <v/>
      </c>
      <c r="N100" s="476" t="str">
        <f>IF(F100="","",INT(HLOOKUP(N82,H82:M105,19,FALSE)*O81))</f>
        <v/>
      </c>
      <c r="O100" s="480" t="str">
        <f t="shared" si="4"/>
        <v/>
      </c>
    </row>
    <row r="101" spans="1:20" s="20" customFormat="1" ht="20" customHeight="1">
      <c r="A101" s="53"/>
      <c r="B101" s="86"/>
      <c r="C101" s="87"/>
      <c r="D101" s="68"/>
      <c r="E101" s="78"/>
      <c r="F101" s="59"/>
      <c r="G101" s="73"/>
      <c r="H101" s="476"/>
      <c r="I101" s="477" t="str">
        <f t="shared" si="1"/>
        <v/>
      </c>
      <c r="J101" s="478"/>
      <c r="K101" s="477" t="str">
        <f t="shared" si="2"/>
        <v/>
      </c>
      <c r="L101" s="478"/>
      <c r="M101" s="479" t="str">
        <f t="shared" si="3"/>
        <v/>
      </c>
      <c r="N101" s="476" t="str">
        <f>IF(F101="","",INT(HLOOKUP(N82,H82:M105,20,FALSE)*O81))</f>
        <v/>
      </c>
      <c r="O101" s="480" t="str">
        <f t="shared" si="4"/>
        <v/>
      </c>
    </row>
    <row r="102" spans="1:20" s="20" customFormat="1" ht="20" customHeight="1">
      <c r="A102" s="53"/>
      <c r="B102" s="86"/>
      <c r="C102" s="87"/>
      <c r="D102" s="68"/>
      <c r="E102" s="78"/>
      <c r="F102" s="59"/>
      <c r="G102" s="73"/>
      <c r="H102" s="476"/>
      <c r="I102" s="477" t="str">
        <f t="shared" si="1"/>
        <v/>
      </c>
      <c r="J102" s="478"/>
      <c r="K102" s="477" t="str">
        <f t="shared" si="2"/>
        <v/>
      </c>
      <c r="L102" s="478"/>
      <c r="M102" s="479" t="str">
        <f t="shared" si="3"/>
        <v/>
      </c>
      <c r="N102" s="476" t="str">
        <f>IF(F102="","",INT(HLOOKUP(N82,H82:M105,21,FALSE)*O81))</f>
        <v/>
      </c>
      <c r="O102" s="480" t="str">
        <f t="shared" si="4"/>
        <v/>
      </c>
    </row>
    <row r="103" spans="1:20" s="20" customFormat="1" ht="20" customHeight="1">
      <c r="A103" s="53"/>
      <c r="B103" s="86"/>
      <c r="C103" s="87"/>
      <c r="D103" s="68"/>
      <c r="E103" s="78"/>
      <c r="F103" s="59"/>
      <c r="G103" s="73"/>
      <c r="H103" s="476"/>
      <c r="I103" s="477" t="str">
        <f t="shared" si="1"/>
        <v/>
      </c>
      <c r="J103" s="478"/>
      <c r="K103" s="477" t="str">
        <f t="shared" si="2"/>
        <v/>
      </c>
      <c r="L103" s="478"/>
      <c r="M103" s="479" t="str">
        <f t="shared" si="3"/>
        <v/>
      </c>
      <c r="N103" s="476" t="str">
        <f>IF(F103="","",INT(HLOOKUP(N82,H82:M105,22,FALSE)*O81))</f>
        <v/>
      </c>
      <c r="O103" s="480" t="str">
        <f t="shared" si="4"/>
        <v/>
      </c>
    </row>
    <row r="104" spans="1:20" s="20" customFormat="1" ht="20" customHeight="1">
      <c r="A104" s="53"/>
      <c r="B104" s="86"/>
      <c r="C104" s="87"/>
      <c r="D104" s="68"/>
      <c r="E104" s="78"/>
      <c r="F104" s="59"/>
      <c r="G104" s="73"/>
      <c r="H104" s="476"/>
      <c r="I104" s="477" t="str">
        <f t="shared" si="1"/>
        <v/>
      </c>
      <c r="J104" s="478"/>
      <c r="K104" s="477" t="str">
        <f t="shared" si="2"/>
        <v/>
      </c>
      <c r="L104" s="478"/>
      <c r="M104" s="479" t="str">
        <f t="shared" si="3"/>
        <v/>
      </c>
      <c r="N104" s="476" t="str">
        <f>IF(F104="","",INT(HLOOKUP(N82,H82:M105,23,FALSE)*O81))</f>
        <v/>
      </c>
      <c r="O104" s="480" t="str">
        <f t="shared" si="4"/>
        <v/>
      </c>
    </row>
    <row r="105" spans="1:20" s="20" customFormat="1" ht="20" customHeight="1" thickBot="1">
      <c r="A105" s="54"/>
      <c r="B105" s="88"/>
      <c r="C105" s="89"/>
      <c r="D105" s="69"/>
      <c r="E105" s="79"/>
      <c r="F105" s="60"/>
      <c r="G105" s="74"/>
      <c r="H105" s="481"/>
      <c r="I105" s="482" t="str">
        <f t="shared" si="1"/>
        <v/>
      </c>
      <c r="J105" s="483"/>
      <c r="K105" s="482" t="str">
        <f t="shared" si="2"/>
        <v/>
      </c>
      <c r="L105" s="483"/>
      <c r="M105" s="484" t="str">
        <f t="shared" si="3"/>
        <v/>
      </c>
      <c r="N105" s="481" t="str">
        <f>IF(F105="","",INT(HLOOKUP(N82,H82:M105,24,FALSE)*O81))</f>
        <v/>
      </c>
      <c r="O105" s="485" t="str">
        <f t="shared" si="4"/>
        <v/>
      </c>
    </row>
    <row r="106" spans="1:20" s="20" customFormat="1" ht="20" customHeight="1" thickTop="1" thickBot="1">
      <c r="A106" s="28"/>
      <c r="B106" s="29"/>
      <c r="C106" s="29"/>
      <c r="D106" s="30" t="str">
        <f>IF(G106="","合      計","")</f>
        <v>合      計</v>
      </c>
      <c r="E106" s="31" t="s">
        <v>61</v>
      </c>
      <c r="F106" s="31"/>
      <c r="G106" s="51"/>
      <c r="H106" s="486"/>
      <c r="I106" s="487" t="str">
        <f>IF($G106="",IF(SUM(I84:I105)=0,"",SUM(I84:I105)),IF(I79="","",SUM(I84:I105)+I79))</f>
        <v/>
      </c>
      <c r="J106" s="488"/>
      <c r="K106" s="487" t="str">
        <f>IF(G106="",IF(SUM(K84:K105)=0,"",SUM(K84:K105)),IF(K79="","",SUM(K84:K105)+K79))</f>
        <v/>
      </c>
      <c r="L106" s="488"/>
      <c r="M106" s="489" t="str">
        <f>IF(G106="",IF(SUM(M84:M105)=0,"",SUM(M84:M105)),IF(M79="","",SUM(M84:M105)+M79))</f>
        <v/>
      </c>
      <c r="N106" s="490" t="s">
        <v>29</v>
      </c>
      <c r="O106" s="491">
        <f>IF(G133="",MIN(I106,K106,M106),"")</f>
        <v>0</v>
      </c>
    </row>
    <row r="107" spans="1:20" s="20" customFormat="1" ht="20" customHeight="1">
      <c r="A107" s="24"/>
      <c r="B107" s="24"/>
      <c r="C107" s="24"/>
      <c r="G107" s="24"/>
      <c r="H107" s="32"/>
      <c r="I107" s="32"/>
      <c r="J107" s="32"/>
      <c r="K107" s="32"/>
      <c r="L107" s="32"/>
      <c r="M107" s="32"/>
      <c r="N107" s="20" t="str">
        <f>IF(B109="","EOL","")</f>
        <v>EOL</v>
      </c>
      <c r="O107" s="32">
        <f>+O80+1</f>
        <v>1</v>
      </c>
    </row>
    <row r="110" spans="1:20" s="20" customFormat="1" ht="20" customHeight="1" thickBot="1">
      <c r="A110" s="2754" t="s">
        <v>240</v>
      </c>
      <c r="B110" s="2754"/>
      <c r="C110" s="2754"/>
      <c r="D110" s="2754"/>
      <c r="E110" s="2754"/>
      <c r="F110" s="2754"/>
      <c r="G110" s="2754"/>
      <c r="H110" s="2754"/>
      <c r="I110" s="2754"/>
      <c r="J110" s="2754"/>
      <c r="K110" s="2754"/>
      <c r="L110" s="2754"/>
      <c r="M110" s="237" t="s">
        <v>203</v>
      </c>
      <c r="N110" s="2755" t="s">
        <v>204</v>
      </c>
      <c r="O110" s="2755"/>
      <c r="P110" s="2755"/>
      <c r="Q110" s="238"/>
      <c r="S110" s="1"/>
    </row>
    <row r="111" spans="1:20" s="24" customFormat="1" ht="20" customHeight="1">
      <c r="A111" s="293"/>
      <c r="B111" s="413"/>
      <c r="C111" s="413"/>
      <c r="D111" s="2756" t="s">
        <v>205</v>
      </c>
      <c r="E111" s="2756"/>
      <c r="F111" s="2756"/>
      <c r="G111" s="2756"/>
      <c r="H111" s="388"/>
      <c r="I111" s="418"/>
      <c r="J111" s="2759" t="s">
        <v>283</v>
      </c>
      <c r="K111" s="2760"/>
      <c r="L111" s="2760"/>
      <c r="M111" s="2760"/>
      <c r="N111" s="2760"/>
      <c r="O111" s="2760"/>
      <c r="P111" s="2760"/>
      <c r="Q111" s="2760"/>
      <c r="R111" s="2760"/>
      <c r="S111" s="2760"/>
      <c r="T111" s="2761"/>
    </row>
    <row r="112" spans="1:20" s="24" customFormat="1" ht="20" customHeight="1" thickBot="1">
      <c r="A112" s="294"/>
      <c r="B112" s="295"/>
      <c r="C112" s="295"/>
      <c r="D112" s="296"/>
      <c r="E112" s="297" t="s">
        <v>241</v>
      </c>
      <c r="F112" s="2757">
        <v>1</v>
      </c>
      <c r="G112" s="2758"/>
      <c r="H112" s="416"/>
      <c r="I112" s="417"/>
      <c r="J112" s="2762"/>
      <c r="K112" s="2763"/>
      <c r="L112" s="2763"/>
      <c r="M112" s="2763"/>
      <c r="N112" s="2763"/>
      <c r="O112" s="2763"/>
      <c r="P112" s="2763"/>
      <c r="Q112" s="2763"/>
      <c r="R112" s="2763"/>
      <c r="S112" s="2763"/>
      <c r="T112" s="2764"/>
    </row>
    <row r="113" spans="1:20" s="20" customFormat="1" ht="20" customHeight="1">
      <c r="A113" s="299" t="s">
        <v>242</v>
      </c>
      <c r="B113" s="300" t="s">
        <v>243</v>
      </c>
      <c r="C113" s="301" t="s">
        <v>244</v>
      </c>
      <c r="D113" s="302"/>
      <c r="E113" s="303"/>
      <c r="F113" s="303"/>
      <c r="G113" s="304"/>
      <c r="H113" s="240" t="s">
        <v>206</v>
      </c>
      <c r="I113" s="241" t="s">
        <v>207</v>
      </c>
      <c r="J113" s="242" t="s">
        <v>16</v>
      </c>
      <c r="K113" s="239" t="s">
        <v>18</v>
      </c>
      <c r="L113" s="305"/>
      <c r="M113" s="306"/>
      <c r="N113" s="307"/>
      <c r="O113" s="356"/>
      <c r="P113" s="241" t="s">
        <v>208</v>
      </c>
      <c r="Q113" s="308"/>
      <c r="R113" s="308"/>
      <c r="S113" s="388" t="s">
        <v>278</v>
      </c>
      <c r="T113" s="390" t="s">
        <v>279</v>
      </c>
    </row>
    <row r="114" spans="1:20" s="20" customFormat="1" ht="20" customHeight="1" thickBot="1">
      <c r="A114" s="243" t="s">
        <v>209</v>
      </c>
      <c r="B114" s="244" t="s">
        <v>17</v>
      </c>
      <c r="C114" s="245" t="s">
        <v>17</v>
      </c>
      <c r="D114" s="246" t="s">
        <v>19</v>
      </c>
      <c r="E114" s="247" t="s">
        <v>20</v>
      </c>
      <c r="F114" s="309" t="s">
        <v>21</v>
      </c>
      <c r="G114" s="310" t="s">
        <v>22</v>
      </c>
      <c r="H114" s="248" t="s">
        <v>245</v>
      </c>
      <c r="I114" s="249" t="s">
        <v>23</v>
      </c>
      <c r="J114" s="250" t="s">
        <v>17</v>
      </c>
      <c r="K114" s="244" t="s">
        <v>17</v>
      </c>
      <c r="L114" s="251" t="s">
        <v>19</v>
      </c>
      <c r="M114" s="247" t="s">
        <v>20</v>
      </c>
      <c r="N114" s="309" t="s">
        <v>21</v>
      </c>
      <c r="O114" s="247" t="s">
        <v>22</v>
      </c>
      <c r="P114" s="249" t="s">
        <v>23</v>
      </c>
      <c r="Q114" s="252" t="s">
        <v>28</v>
      </c>
      <c r="R114" s="252" t="s">
        <v>281</v>
      </c>
      <c r="S114" s="389" t="s">
        <v>280</v>
      </c>
      <c r="T114" s="252" t="s">
        <v>280</v>
      </c>
    </row>
    <row r="115" spans="1:20" s="20" customFormat="1" ht="20" customHeight="1">
      <c r="A115" s="253"/>
      <c r="B115" s="254"/>
      <c r="C115" s="255"/>
      <c r="D115" s="256"/>
      <c r="E115" s="257"/>
      <c r="F115" s="425"/>
      <c r="G115" s="259"/>
      <c r="H115" s="311"/>
      <c r="I115" s="260"/>
      <c r="J115" s="261"/>
      <c r="K115" s="255"/>
      <c r="L115" s="256"/>
      <c r="M115" s="257"/>
      <c r="N115" s="258"/>
      <c r="O115" s="259"/>
      <c r="P115" s="260"/>
      <c r="Q115" s="271" t="str">
        <f>IF(I115&lt;P115,IF(P115="","",IF(S136&lt;T136,R115,IF((H115+(P115-I115)*F112)&lt;10000,ROUNDDOWN(H115+(P115-I115)*F112,-1),ROUNDDOWN(H115+(P115-I115)*F112,-2)))),R115)</f>
        <v/>
      </c>
      <c r="R115" s="410" t="str">
        <f t="shared" ref="R115:R134" si="5">IF(P115="","",IF(I115&lt;&gt;"",IF((P115/I115*H115)&lt;10,INT(P115/I115*H115),IF((P115/I115*H115)&lt;10000,ROUNDDOWN(P115/I115*H115,-1),ROUNDDOWN(P115/I115*H115,-2)))))</f>
        <v/>
      </c>
      <c r="S115" s="411" t="str">
        <f>IF(P115="","",(R115*N115-H115*F115))</f>
        <v/>
      </c>
      <c r="T115" s="410" t="str">
        <f>IF(P115="","",(P115*N115-I115*F115)*F112)</f>
        <v/>
      </c>
    </row>
    <row r="116" spans="1:20" s="20" customFormat="1" ht="20" customHeight="1">
      <c r="A116" s="262"/>
      <c r="B116" s="263"/>
      <c r="C116" s="264"/>
      <c r="D116" s="265"/>
      <c r="E116" s="266"/>
      <c r="F116" s="426"/>
      <c r="G116" s="268"/>
      <c r="H116" s="312"/>
      <c r="I116" s="269"/>
      <c r="J116" s="270"/>
      <c r="K116" s="264"/>
      <c r="L116" s="265"/>
      <c r="M116" s="266"/>
      <c r="N116" s="267"/>
      <c r="O116" s="268"/>
      <c r="P116" s="269"/>
      <c r="Q116" s="271" t="str">
        <f>IF(I116&lt;P116,IF(P116="","",IF(S136&lt;T136,R116,IF((H116+(P116-I116)*F112)&lt;10000,ROUNDDOWN(H116+(P116-I116)*F112,-1),ROUNDDOWN(H116+(P116-I116)*F112,-2)))),R116)</f>
        <v/>
      </c>
      <c r="R116" s="410" t="str">
        <f t="shared" si="5"/>
        <v/>
      </c>
      <c r="S116" s="411" t="str">
        <f t="shared" ref="S116:S134" si="6">IF(P116="","",(R116*N116-H116*F116))</f>
        <v/>
      </c>
      <c r="T116" s="410" t="str">
        <f>IF(P116="","",(P116*N116-I116*F116)*F112)</f>
        <v/>
      </c>
    </row>
    <row r="117" spans="1:20" s="20" customFormat="1" ht="20" customHeight="1">
      <c r="A117" s="262"/>
      <c r="B117" s="263"/>
      <c r="C117" s="264"/>
      <c r="D117" s="265"/>
      <c r="E117" s="266"/>
      <c r="F117" s="426"/>
      <c r="G117" s="268"/>
      <c r="H117" s="312"/>
      <c r="I117" s="269"/>
      <c r="J117" s="270"/>
      <c r="K117" s="264"/>
      <c r="L117" s="265"/>
      <c r="M117" s="266"/>
      <c r="N117" s="267"/>
      <c r="O117" s="268"/>
      <c r="P117" s="269"/>
      <c r="Q117" s="271" t="str">
        <f>IF(I117&lt;P117,IF(P117="","",IF(S136&lt;T136,R117,IF((H117+(P117-I117)*F112)&lt;10000,ROUNDDOWN(H117+(P117-I117)*F112,-1),ROUNDDOWN(H117+(P117-I117)*F112,-2)))),R117)</f>
        <v/>
      </c>
      <c r="R117" s="410" t="str">
        <f t="shared" si="5"/>
        <v/>
      </c>
      <c r="S117" s="411" t="str">
        <f t="shared" si="6"/>
        <v/>
      </c>
      <c r="T117" s="410" t="str">
        <f>IF(P117="","",(P117*N117-I117*F117)*F112)</f>
        <v/>
      </c>
    </row>
    <row r="118" spans="1:20" s="20" customFormat="1" ht="20" customHeight="1">
      <c r="A118" s="262"/>
      <c r="B118" s="263"/>
      <c r="C118" s="264"/>
      <c r="D118" s="265"/>
      <c r="E118" s="266"/>
      <c r="F118" s="426"/>
      <c r="G118" s="268"/>
      <c r="H118" s="312"/>
      <c r="I118" s="269"/>
      <c r="J118" s="270"/>
      <c r="K118" s="264"/>
      <c r="L118" s="265"/>
      <c r="M118" s="266"/>
      <c r="N118" s="267"/>
      <c r="O118" s="268"/>
      <c r="P118" s="269"/>
      <c r="Q118" s="271" t="str">
        <f>IF(I118&lt;P118,IF(P118="","",IF(S136&lt;T136,R118,IF((H118+(P118-I118)*F112)&lt;10000,ROUNDDOWN(H118+(P118-I118)*F112,-1),ROUNDDOWN(H118+(P118-I118)*F112,-2)))),R118)</f>
        <v/>
      </c>
      <c r="R118" s="410" t="str">
        <f t="shared" si="5"/>
        <v/>
      </c>
      <c r="S118" s="411" t="str">
        <f t="shared" si="6"/>
        <v/>
      </c>
      <c r="T118" s="410" t="str">
        <f>IF(P118="","",(P118*N118-I118*F118)*F112)</f>
        <v/>
      </c>
    </row>
    <row r="119" spans="1:20" s="20" customFormat="1" ht="20" customHeight="1">
      <c r="A119" s="262"/>
      <c r="B119" s="263"/>
      <c r="C119" s="264"/>
      <c r="D119" s="265"/>
      <c r="E119" s="266"/>
      <c r="F119" s="426"/>
      <c r="G119" s="268"/>
      <c r="H119" s="312"/>
      <c r="I119" s="269"/>
      <c r="J119" s="270"/>
      <c r="K119" s="264"/>
      <c r="L119" s="265"/>
      <c r="M119" s="266"/>
      <c r="N119" s="267"/>
      <c r="O119" s="268"/>
      <c r="P119" s="269"/>
      <c r="Q119" s="271" t="str">
        <f>IF(I119&lt;P119,IF(P119="","",IF(S136&lt;T136,R119,IF((H119+(P119-I119)*F112)&lt;10000,ROUNDDOWN(H119+(P119-I119)*F112,-1),ROUNDDOWN(H119+(P119-I119)*F112,-2)))),R119)</f>
        <v/>
      </c>
      <c r="R119" s="410" t="str">
        <f t="shared" si="5"/>
        <v/>
      </c>
      <c r="S119" s="411" t="str">
        <f t="shared" si="6"/>
        <v/>
      </c>
      <c r="T119" s="410" t="str">
        <f>IF(P119="","",(P119*N119-I119*F119)*F112)</f>
        <v/>
      </c>
    </row>
    <row r="120" spans="1:20" s="20" customFormat="1" ht="20" customHeight="1">
      <c r="A120" s="262"/>
      <c r="B120" s="263"/>
      <c r="C120" s="264"/>
      <c r="D120" s="265"/>
      <c r="E120" s="266"/>
      <c r="F120" s="426"/>
      <c r="G120" s="268"/>
      <c r="H120" s="312"/>
      <c r="I120" s="269"/>
      <c r="J120" s="270"/>
      <c r="K120" s="264"/>
      <c r="L120" s="265"/>
      <c r="M120" s="266"/>
      <c r="N120" s="267"/>
      <c r="O120" s="268"/>
      <c r="P120" s="269"/>
      <c r="Q120" s="271" t="str">
        <f>IF(I120&lt;P120,IF(P120="","",IF(S136&lt;T136,R120,IF((H120+(P120-I120)*F112)&lt;10000,ROUNDDOWN(H120+(P120-I120)*F112,-1),ROUNDDOWN(H120+(P120-I120)*F112,-2)))),R120)</f>
        <v/>
      </c>
      <c r="R120" s="410" t="str">
        <f t="shared" si="5"/>
        <v/>
      </c>
      <c r="S120" s="411" t="str">
        <f t="shared" si="6"/>
        <v/>
      </c>
      <c r="T120" s="410" t="str">
        <f>IF(P120="","",(P120*N120-I120*F120)*F112)</f>
        <v/>
      </c>
    </row>
    <row r="121" spans="1:20" s="20" customFormat="1" ht="20" customHeight="1">
      <c r="A121" s="262"/>
      <c r="B121" s="263"/>
      <c r="C121" s="264"/>
      <c r="D121" s="265"/>
      <c r="E121" s="266"/>
      <c r="F121" s="426"/>
      <c r="G121" s="268"/>
      <c r="H121" s="312"/>
      <c r="I121" s="269"/>
      <c r="J121" s="270"/>
      <c r="K121" s="264"/>
      <c r="L121" s="265"/>
      <c r="M121" s="266"/>
      <c r="N121" s="267"/>
      <c r="O121" s="268"/>
      <c r="P121" s="269"/>
      <c r="Q121" s="271" t="str">
        <f>IF(I121&lt;P121,IF(P121="","",IF(S136&lt;T136,R121,IF((H121+(P121-I121)*F112)&lt;10000,ROUNDDOWN(H121+(P121-I121)*F112,-1),ROUNDDOWN(H121+(P121-I121)*F112,-2)))),R121)</f>
        <v/>
      </c>
      <c r="R121" s="410" t="str">
        <f t="shared" si="5"/>
        <v/>
      </c>
      <c r="S121" s="411" t="str">
        <f t="shared" si="6"/>
        <v/>
      </c>
      <c r="T121" s="410" t="str">
        <f>IF(P121="","",(P121*N121-I121*F121)*F112)</f>
        <v/>
      </c>
    </row>
    <row r="122" spans="1:20" s="20" customFormat="1" ht="20" customHeight="1">
      <c r="A122" s="262"/>
      <c r="B122" s="263"/>
      <c r="C122" s="264"/>
      <c r="D122" s="265"/>
      <c r="E122" s="266"/>
      <c r="F122" s="426"/>
      <c r="G122" s="268"/>
      <c r="H122" s="312"/>
      <c r="I122" s="269"/>
      <c r="J122" s="270"/>
      <c r="K122" s="264"/>
      <c r="L122" s="265"/>
      <c r="M122" s="266"/>
      <c r="N122" s="267"/>
      <c r="O122" s="268"/>
      <c r="P122" s="269"/>
      <c r="Q122" s="271" t="str">
        <f>IF(I122&lt;P122,IF(P122="","",IF(S136&lt;T136,R122,IF((H122+(P122-I122)*F112)&lt;10000,ROUNDDOWN(H122+(P122-I122)*F112,-1),ROUNDDOWN(H122+(P122-I122)*F112,-2)))),R122)</f>
        <v/>
      </c>
      <c r="R122" s="410" t="str">
        <f t="shared" si="5"/>
        <v/>
      </c>
      <c r="S122" s="411" t="str">
        <f t="shared" si="6"/>
        <v/>
      </c>
      <c r="T122" s="410" t="str">
        <f>IF(P122="","",(P122*N122-I122*F122)*F112)</f>
        <v/>
      </c>
    </row>
    <row r="123" spans="1:20" s="20" customFormat="1" ht="20" customHeight="1">
      <c r="A123" s="262"/>
      <c r="B123" s="263"/>
      <c r="C123" s="264"/>
      <c r="D123" s="265"/>
      <c r="E123" s="266"/>
      <c r="F123" s="426"/>
      <c r="G123" s="268"/>
      <c r="H123" s="312"/>
      <c r="I123" s="269"/>
      <c r="J123" s="270"/>
      <c r="K123" s="264"/>
      <c r="L123" s="265"/>
      <c r="M123" s="266"/>
      <c r="N123" s="267"/>
      <c r="O123" s="268"/>
      <c r="P123" s="269"/>
      <c r="Q123" s="271" t="str">
        <f>IF(I123&lt;P123,IF(P123="","",IF(S136&lt;T136,R123,IF((H123+(P123-I123)*F112)&lt;10000,ROUNDDOWN(H123+(P123-I123)*F112,-1),ROUNDDOWN(H123+(P123-I123)*F112,-2)))),R123)</f>
        <v/>
      </c>
      <c r="R123" s="410" t="str">
        <f t="shared" si="5"/>
        <v/>
      </c>
      <c r="S123" s="411" t="str">
        <f t="shared" si="6"/>
        <v/>
      </c>
      <c r="T123" s="410" t="str">
        <f>IF(P123="","",(P123*N123-I123*F123)*F122)</f>
        <v/>
      </c>
    </row>
    <row r="124" spans="1:20" s="20" customFormat="1" ht="20" customHeight="1">
      <c r="A124" s="262"/>
      <c r="B124" s="263"/>
      <c r="C124" s="264"/>
      <c r="D124" s="265"/>
      <c r="E124" s="266"/>
      <c r="F124" s="426"/>
      <c r="G124" s="268"/>
      <c r="H124" s="312"/>
      <c r="I124" s="269"/>
      <c r="J124" s="270"/>
      <c r="K124" s="264"/>
      <c r="L124" s="265"/>
      <c r="M124" s="266"/>
      <c r="N124" s="267"/>
      <c r="O124" s="268"/>
      <c r="P124" s="269"/>
      <c r="Q124" s="271" t="str">
        <f>IF(I124&lt;P124,IF(P124="","",IF(S136&lt;T136,R124,IF((H124+(P124-I124)*F112)&lt;10000,ROUNDDOWN(H124+(P124-I124)*F112,-1),ROUNDDOWN(H124+(P124-I124)*F112,-2)))),R124)</f>
        <v/>
      </c>
      <c r="R124" s="410" t="str">
        <f t="shared" si="5"/>
        <v/>
      </c>
      <c r="S124" s="411" t="str">
        <f t="shared" si="6"/>
        <v/>
      </c>
      <c r="T124" s="410" t="str">
        <f>IF(P124="","",(P124*N124-I124*F124)*F112)</f>
        <v/>
      </c>
    </row>
    <row r="125" spans="1:20" s="20" customFormat="1" ht="20" customHeight="1">
      <c r="A125" s="262"/>
      <c r="B125" s="263"/>
      <c r="C125" s="264"/>
      <c r="D125" s="265"/>
      <c r="E125" s="266"/>
      <c r="F125" s="426"/>
      <c r="G125" s="268"/>
      <c r="H125" s="312"/>
      <c r="I125" s="269"/>
      <c r="J125" s="270"/>
      <c r="K125" s="264"/>
      <c r="L125" s="265"/>
      <c r="M125" s="266"/>
      <c r="N125" s="267"/>
      <c r="O125" s="268"/>
      <c r="P125" s="269"/>
      <c r="Q125" s="271" t="str">
        <f>IF(I125&lt;P125,IF(P125="","",IF(S136&lt;T136,R125,IF((H125+(P125-I125)*F112)&lt;10000,ROUNDDOWN(H125+(P125-I125)*F112,-1),ROUNDDOWN(H125+(P125-I125)*F112,-2)))),R125)</f>
        <v/>
      </c>
      <c r="R125" s="410" t="str">
        <f t="shared" si="5"/>
        <v/>
      </c>
      <c r="S125" s="411" t="str">
        <f t="shared" si="6"/>
        <v/>
      </c>
      <c r="T125" s="410" t="str">
        <f>IF(P125="","",(P125*N125-I125*F125)*F112)</f>
        <v/>
      </c>
    </row>
    <row r="126" spans="1:20" s="20" customFormat="1" ht="20" customHeight="1">
      <c r="A126" s="262"/>
      <c r="B126" s="263"/>
      <c r="C126" s="264"/>
      <c r="D126" s="265"/>
      <c r="E126" s="266"/>
      <c r="F126" s="426"/>
      <c r="G126" s="268"/>
      <c r="H126" s="312"/>
      <c r="I126" s="269"/>
      <c r="J126" s="270"/>
      <c r="K126" s="264"/>
      <c r="L126" s="265"/>
      <c r="M126" s="266"/>
      <c r="N126" s="267"/>
      <c r="O126" s="268"/>
      <c r="P126" s="269"/>
      <c r="Q126" s="271" t="str">
        <f>IF(I126&lt;P126,IF(P126="","",IF(S136&lt;T136,R126,IF((H126+(P126-I126)*F112)&lt;10000,ROUNDDOWN(H126+(P126-I126)*F112,-1),ROUNDDOWN(H126+(P126-I126)*F112,-2)))),R126)</f>
        <v/>
      </c>
      <c r="R126" s="410" t="str">
        <f t="shared" si="5"/>
        <v/>
      </c>
      <c r="S126" s="411" t="str">
        <f t="shared" si="6"/>
        <v/>
      </c>
      <c r="T126" s="410" t="str">
        <f>IF(P126="","",(P126*N126-I126*F126)*F112)</f>
        <v/>
      </c>
    </row>
    <row r="127" spans="1:20" s="20" customFormat="1" ht="20" customHeight="1">
      <c r="A127" s="262"/>
      <c r="B127" s="263"/>
      <c r="C127" s="264"/>
      <c r="D127" s="265"/>
      <c r="E127" s="266"/>
      <c r="F127" s="426"/>
      <c r="G127" s="268"/>
      <c r="H127" s="312"/>
      <c r="I127" s="269"/>
      <c r="J127" s="270"/>
      <c r="K127" s="264"/>
      <c r="L127" s="265"/>
      <c r="M127" s="266"/>
      <c r="N127" s="267"/>
      <c r="O127" s="268"/>
      <c r="P127" s="269"/>
      <c r="Q127" s="271" t="str">
        <f>IF(I127&lt;P127,IF(P127="","",IF(S136&lt;T136,R127,IF((H127+(P127-I127)*F112)&lt;10000,ROUNDDOWN(H127+(P127-I127)*F112,-1),ROUNDDOWN(H127+(P127-I127)*F112,-2)))),R127)</f>
        <v/>
      </c>
      <c r="R127" s="410" t="str">
        <f t="shared" si="5"/>
        <v/>
      </c>
      <c r="S127" s="411" t="str">
        <f t="shared" si="6"/>
        <v/>
      </c>
      <c r="T127" s="410" t="str">
        <f>IF(P127="","",(P127*N127-I127*F127)*F112)</f>
        <v/>
      </c>
    </row>
    <row r="128" spans="1:20" s="20" customFormat="1" ht="20" customHeight="1">
      <c r="A128" s="262"/>
      <c r="B128" s="263"/>
      <c r="C128" s="264"/>
      <c r="D128" s="265"/>
      <c r="E128" s="266"/>
      <c r="F128" s="426"/>
      <c r="G128" s="268"/>
      <c r="H128" s="312"/>
      <c r="I128" s="269"/>
      <c r="J128" s="270"/>
      <c r="K128" s="264"/>
      <c r="L128" s="265"/>
      <c r="M128" s="266"/>
      <c r="N128" s="267"/>
      <c r="O128" s="268"/>
      <c r="P128" s="269"/>
      <c r="Q128" s="271" t="str">
        <f>IF(I128&lt;P128,IF(P128="","",IF(S136&lt;T136,R128,IF((H128+(P128-I128)*F112)&lt;10000,ROUNDDOWN(H128+(P128-I128)*F112,-1),ROUNDDOWN(H128+(P128-I128)*F112,-2)))),R128)</f>
        <v/>
      </c>
      <c r="R128" s="410" t="str">
        <f t="shared" si="5"/>
        <v/>
      </c>
      <c r="S128" s="411" t="str">
        <f t="shared" si="6"/>
        <v/>
      </c>
      <c r="T128" s="410" t="str">
        <f>IF(P128="","",(P128*N128-I128*F128)*F112)</f>
        <v/>
      </c>
    </row>
    <row r="129" spans="1:20" s="20" customFormat="1" ht="20" customHeight="1">
      <c r="A129" s="262"/>
      <c r="B129" s="263"/>
      <c r="C129" s="264"/>
      <c r="D129" s="265"/>
      <c r="E129" s="266"/>
      <c r="F129" s="426"/>
      <c r="G129" s="268"/>
      <c r="H129" s="312"/>
      <c r="I129" s="269"/>
      <c r="J129" s="270"/>
      <c r="K129" s="264"/>
      <c r="L129" s="265"/>
      <c r="M129" s="266"/>
      <c r="N129" s="267"/>
      <c r="O129" s="268"/>
      <c r="P129" s="269"/>
      <c r="Q129" s="271" t="str">
        <f>IF(I129&lt;P129,IF(P129="","",IF(S136&lt;T136,R129,IF((H129+(P129-I129)*F112)&lt;10000,ROUNDDOWN(H129+(P129-I129)*F112,-1),ROUNDDOWN(H129+(P129-I129)*F112,-2)))),R129)</f>
        <v/>
      </c>
      <c r="R129" s="410" t="str">
        <f t="shared" si="5"/>
        <v/>
      </c>
      <c r="S129" s="411" t="str">
        <f t="shared" si="6"/>
        <v/>
      </c>
      <c r="T129" s="410" t="str">
        <f>IF(P129="","",(P129*N129-I129*F129)*F112)</f>
        <v/>
      </c>
    </row>
    <row r="130" spans="1:20" s="20" customFormat="1" ht="20" customHeight="1">
      <c r="A130" s="262"/>
      <c r="B130" s="263"/>
      <c r="C130" s="264"/>
      <c r="D130" s="265"/>
      <c r="E130" s="266"/>
      <c r="F130" s="426"/>
      <c r="G130" s="268"/>
      <c r="H130" s="312"/>
      <c r="I130" s="269"/>
      <c r="J130" s="270"/>
      <c r="K130" s="264"/>
      <c r="L130" s="265"/>
      <c r="M130" s="266"/>
      <c r="N130" s="267"/>
      <c r="O130" s="268"/>
      <c r="P130" s="269"/>
      <c r="Q130" s="271" t="str">
        <f>IF(I130&lt;P130,IF(P130="","",IF(S136&lt;T136,R130,IF((H130+(P130-I130)*F112)&lt;10000,ROUNDDOWN(H130+(P130-I130)*F112,-1),ROUNDDOWN(H130+(P130-I130)*F112,-2)))),R130)</f>
        <v/>
      </c>
      <c r="R130" s="410" t="str">
        <f t="shared" si="5"/>
        <v/>
      </c>
      <c r="S130" s="411" t="str">
        <f t="shared" si="6"/>
        <v/>
      </c>
      <c r="T130" s="410" t="str">
        <f>IF(P130="","",(P130*N130-I130*F130)*F112)</f>
        <v/>
      </c>
    </row>
    <row r="131" spans="1:20" s="20" customFormat="1" ht="20" customHeight="1">
      <c r="A131" s="262"/>
      <c r="B131" s="263"/>
      <c r="C131" s="264"/>
      <c r="D131" s="265"/>
      <c r="E131" s="266"/>
      <c r="F131" s="426"/>
      <c r="G131" s="268"/>
      <c r="H131" s="312"/>
      <c r="I131" s="269"/>
      <c r="J131" s="270"/>
      <c r="K131" s="264"/>
      <c r="L131" s="265"/>
      <c r="M131" s="266"/>
      <c r="N131" s="267"/>
      <c r="O131" s="268"/>
      <c r="P131" s="269"/>
      <c r="Q131" s="271" t="str">
        <f>IF(I131&lt;P131,IF(P131="","",IF(S136&lt;T136,R131,IF((H131+(P131-I131)*F112)&lt;10000,ROUNDDOWN(H131+(P131-I131)*F112,-1),ROUNDDOWN(H131+(P131-I131)*F112,-2)))),R131)</f>
        <v/>
      </c>
      <c r="R131" s="410" t="str">
        <f t="shared" si="5"/>
        <v/>
      </c>
      <c r="S131" s="411" t="str">
        <f t="shared" si="6"/>
        <v/>
      </c>
      <c r="T131" s="410" t="str">
        <f>IF(P131="","",(P131*N131-I131*F131)*F112)</f>
        <v/>
      </c>
    </row>
    <row r="132" spans="1:20" s="20" customFormat="1" ht="20" customHeight="1">
      <c r="A132" s="262"/>
      <c r="B132" s="263"/>
      <c r="C132" s="264"/>
      <c r="D132" s="265"/>
      <c r="E132" s="266"/>
      <c r="F132" s="426"/>
      <c r="G132" s="268"/>
      <c r="H132" s="312"/>
      <c r="I132" s="269"/>
      <c r="J132" s="270"/>
      <c r="K132" s="264"/>
      <c r="L132" s="265"/>
      <c r="M132" s="266"/>
      <c r="N132" s="267"/>
      <c r="O132" s="268"/>
      <c r="P132" s="269"/>
      <c r="Q132" s="271" t="str">
        <f>IF(I132&lt;P132,IF(P132="","",IF(S136&lt;T136,R132,IF((H132+(P132-I132)*F112)&lt;10000,ROUNDDOWN(H132+(P132-I132)*F112,-1),ROUNDDOWN(H132+(P132-I132)*F112,-2)))),R132)</f>
        <v/>
      </c>
      <c r="R132" s="410" t="str">
        <f t="shared" si="5"/>
        <v/>
      </c>
      <c r="S132" s="411" t="str">
        <f t="shared" si="6"/>
        <v/>
      </c>
      <c r="T132" s="410" t="str">
        <f>IF(P132="","",(P132*N132-I132*F132)*F112)</f>
        <v/>
      </c>
    </row>
    <row r="133" spans="1:20" s="20" customFormat="1" ht="20" customHeight="1">
      <c r="A133" s="262"/>
      <c r="B133" s="263"/>
      <c r="C133" s="264"/>
      <c r="D133" s="265"/>
      <c r="E133" s="266"/>
      <c r="F133" s="426"/>
      <c r="G133" s="268"/>
      <c r="H133" s="312"/>
      <c r="I133" s="269"/>
      <c r="J133" s="270"/>
      <c r="K133" s="264"/>
      <c r="L133" s="265"/>
      <c r="M133" s="266"/>
      <c r="N133" s="267"/>
      <c r="O133" s="268"/>
      <c r="P133" s="269"/>
      <c r="Q133" s="271" t="str">
        <f>IF(I133&lt;P133,IF(P133="","",IF(S136&lt;T136,R133,IF((H133+(P133-I133)*F112)&lt;10000,ROUNDDOWN(H133+(P133-I133)*F112,-1),ROUNDDOWN(H133+(P133-I133)*F112,-2)))),R133)</f>
        <v/>
      </c>
      <c r="R133" s="410" t="str">
        <f t="shared" si="5"/>
        <v/>
      </c>
      <c r="S133" s="411" t="str">
        <f t="shared" si="6"/>
        <v/>
      </c>
      <c r="T133" s="410" t="str">
        <f>IF(P133="","",(P133*N133-I133*F133)*F112)</f>
        <v/>
      </c>
    </row>
    <row r="134" spans="1:20" s="20" customFormat="1" ht="20" customHeight="1" thickBot="1">
      <c r="A134" s="391"/>
      <c r="B134" s="392"/>
      <c r="C134" s="393"/>
      <c r="D134" s="394"/>
      <c r="E134" s="395"/>
      <c r="F134" s="427"/>
      <c r="G134" s="397"/>
      <c r="H134" s="298"/>
      <c r="I134" s="398"/>
      <c r="J134" s="399"/>
      <c r="K134" s="393"/>
      <c r="L134" s="394"/>
      <c r="M134" s="395"/>
      <c r="N134" s="396"/>
      <c r="O134" s="397"/>
      <c r="P134" s="398"/>
      <c r="Q134" s="271" t="str">
        <f>IF(I134&lt;P134,IF(P134="","",IF(S136&lt;T136,R134,IF((H134+(P134-I134)*F112)&lt;10000,ROUNDDOWN(H134+(P134-I134)*F112,-1),ROUNDDOWN(H134+(P134-I134)*F112,-2)))),R134)</f>
        <v/>
      </c>
      <c r="R134" s="412" t="str">
        <f t="shared" si="5"/>
        <v/>
      </c>
      <c r="S134" s="411" t="str">
        <f t="shared" si="6"/>
        <v/>
      </c>
      <c r="T134" s="410" t="str">
        <f>IF(P134="","",(P134*N134-I134*F134)*F112)</f>
        <v/>
      </c>
    </row>
    <row r="135" spans="1:20" s="20" customFormat="1" ht="20" customHeight="1" thickBot="1">
      <c r="A135" s="400"/>
      <c r="B135" s="401"/>
      <c r="C135" s="401"/>
      <c r="D135" s="402"/>
      <c r="E135" s="402"/>
      <c r="F135" s="402"/>
      <c r="G135" s="403"/>
      <c r="H135" s="404"/>
      <c r="I135" s="405"/>
      <c r="J135" s="401"/>
      <c r="K135" s="401"/>
      <c r="L135" s="402"/>
      <c r="M135" s="420"/>
      <c r="N135" s="422"/>
      <c r="O135" s="422"/>
      <c r="P135" s="423" t="s">
        <v>284</v>
      </c>
      <c r="Q135" s="419"/>
      <c r="R135" s="406" t="s">
        <v>282</v>
      </c>
      <c r="S135" s="407" t="str">
        <f>IF($Q135="",IF(SUM(S115:S134)=0,"",SUM(S115:S134)),IF(S108="","",SUM(S115:S134)+S108))</f>
        <v/>
      </c>
      <c r="T135" s="408" t="str">
        <f>IF($Q135="",IF(SUM(T115:T134)=0,"",SUM(T115:T134)),IF(T108="","",SUM(T115:T134)+T108))</f>
        <v/>
      </c>
    </row>
    <row r="136" spans="1:20" s="20" customFormat="1" ht="20" customHeight="1" thickBot="1">
      <c r="A136" s="24"/>
      <c r="B136" s="24"/>
      <c r="C136" s="24"/>
      <c r="G136" s="24"/>
      <c r="H136" s="32"/>
      <c r="I136" s="32"/>
      <c r="J136" s="24"/>
      <c r="K136" s="24"/>
      <c r="N136" s="20" t="str">
        <f>IF(A140="","EOL","")</f>
        <v>EOL</v>
      </c>
      <c r="O136" s="32">
        <f ca="1">OFFSET(O136,-27,0,1,1)+1</f>
        <v>1</v>
      </c>
      <c r="Q136" s="32"/>
      <c r="R136" s="406" t="s">
        <v>285</v>
      </c>
      <c r="S136" s="407" t="str">
        <f ca="1">IF(OFFSET(Q135,27,0,1,1)="",S135,OFFSET(S135,27,0,1,1))</f>
        <v/>
      </c>
      <c r="T136" s="408" t="str">
        <f ca="1">IF(OFFSET(Q135,27,0,1,1)="",T135,OFFSET(T135,27,0,1,1))</f>
        <v/>
      </c>
    </row>
  </sheetData>
  <mergeCells count="15">
    <mergeCell ref="J52:L52"/>
    <mergeCell ref="C50:L50"/>
    <mergeCell ref="A81:M81"/>
    <mergeCell ref="J51:L51"/>
    <mergeCell ref="O50:AH50"/>
    <mergeCell ref="D111:G111"/>
    <mergeCell ref="F112:G112"/>
    <mergeCell ref="N82:O82"/>
    <mergeCell ref="L82:M82"/>
    <mergeCell ref="H82:I82"/>
    <mergeCell ref="J82:K82"/>
    <mergeCell ref="A110:L110"/>
    <mergeCell ref="N110:P110"/>
    <mergeCell ref="J111:T111"/>
    <mergeCell ref="J112:T112"/>
  </mergeCells>
  <phoneticPr fontId="2"/>
  <dataValidations count="45"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採用業者の調整前合計金額を記入。" sqref="H112" xr:uid="{00000000-0002-0000-1000-000000000000}">
      <formula1>IF(SUM(H115:I135)&gt;0,H112=0,TRUE)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5" xr:uid="{00000000-0002-0000-1000-000001000000}">
      <formula1>IF(SUM(H112:I112)&gt;0,H115=0,TRUE)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5" xr:uid="{00000000-0002-0000-1000-000002000000}">
      <formula1>IF(SUM(H112:I112)&gt;0,I115=0,TRUE)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6" xr:uid="{00000000-0002-0000-1000-000003000000}">
      <formula1>IF(SUM(H112:I112)&gt;0,H116=0,TRUE)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6" xr:uid="{00000000-0002-0000-1000-000004000000}">
      <formula1>IF(SUM(H112:I112)&gt;0,I116=0,TRUE)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7" xr:uid="{00000000-0002-0000-1000-000005000000}">
      <formula1>IF(SUM(H112:I112)&gt;0,I117=0,TRUE)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7" xr:uid="{00000000-0002-0000-1000-000006000000}">
      <formula1>IF(SUM(H112:I112)&gt;0,H117=0,TRUE)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8" xr:uid="{00000000-0002-0000-1000-000007000000}">
      <formula1>IF(SUM(H112:I112)&gt;0,H118=0,TRUE)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8" xr:uid="{00000000-0002-0000-1000-000008000000}">
      <formula1>IF(SUM(H112:I112)&gt;0,I118=0,TRUE)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19" xr:uid="{00000000-0002-0000-1000-000009000000}">
      <formula1>IF(SUM(H112:I112)&gt;0,H119=0,TRUE)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19" xr:uid="{00000000-0002-0000-1000-00000A000000}">
      <formula1>IF(SUM(H112:I112)&gt;0,I119=0,TRUE)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0" xr:uid="{00000000-0002-0000-1000-00000B000000}">
      <formula1>IF(SUM(H112:I112)&gt;0,H120=0,TRUE)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0" xr:uid="{00000000-0002-0000-1000-00000C000000}">
      <formula1>IF(SUM(H112:I112)&gt;0,I120=0,TRUE)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1" xr:uid="{00000000-0002-0000-1000-00000D000000}">
      <formula1>IF(SUM(H112:I112)&gt;0,H121=0,TRUE)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1" xr:uid="{00000000-0002-0000-1000-00000E000000}">
      <formula1>IF(SUM(H112:I112)&gt;0,I121=0,TRUE)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2" xr:uid="{00000000-0002-0000-1000-00000F000000}">
      <formula1>IF(SUM(H112:I112)&gt;0,H122=0,TRUE)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2" xr:uid="{00000000-0002-0000-1000-000010000000}">
      <formula1>IF(SUM(H112:I112)&gt;0,I122=0,TRUE)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3" xr:uid="{00000000-0002-0000-1000-000011000000}">
      <formula1>IF(SUM(H112:I112)&gt;0,H123=0,TRUE)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3" xr:uid="{00000000-0002-0000-1000-000012000000}">
      <formula1>IF(SUM(H112:I112)&gt;0,I123=0,TRUE)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4" xr:uid="{00000000-0002-0000-1000-000013000000}">
      <formula1>IF(SUM(H112:I112)&gt;0,H124=0,TRUE)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4" xr:uid="{00000000-0002-0000-1000-000014000000}">
      <formula1>IF(SUM(H112:I112)&gt;0,I124=0,TRUE)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5" xr:uid="{00000000-0002-0000-1000-000015000000}">
      <formula1>IF(SUM(H112:I112)&gt;0,H125=0,TRUE)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5" xr:uid="{00000000-0002-0000-1000-000016000000}">
      <formula1>IF(SUM(H112:I112)&gt;0,I125=0,TRUE)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6" xr:uid="{00000000-0002-0000-1000-000017000000}">
      <formula1>IF(SUM(H112:I112)&gt;0,H126=0,TRUE)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6" xr:uid="{00000000-0002-0000-1000-000018000000}">
      <formula1>IF(SUM(H112:I112)&gt;0,I126=0,TRUE)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7" xr:uid="{00000000-0002-0000-1000-000019000000}">
      <formula1>IF(SUM(H112:I112)&gt;0,H127=0,TRUE)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7" xr:uid="{00000000-0002-0000-1000-00001A000000}">
      <formula1>IF(SUM(H112:I112)&gt;0,I127=0,TRUE)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8" xr:uid="{00000000-0002-0000-1000-00001B000000}">
      <formula1>IF(SUM(H112:I112)&gt;0,H128=0,TRUE)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8" xr:uid="{00000000-0002-0000-1000-00001C000000}">
      <formula1>IF(SUM(H112:I112)&gt;0,I128=0,TRUE)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29" xr:uid="{00000000-0002-0000-1000-00001D000000}">
      <formula1>IF(SUM(H112:I112)&gt;0,H129=0,TRUE)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29" xr:uid="{00000000-0002-0000-1000-00001E000000}">
      <formula1>IF(SUM(H112:I112)&gt;0,I129=0,TRUE)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0" xr:uid="{00000000-0002-0000-1000-00001F000000}">
      <formula1>IF(SUM(H112:I112)&gt;0,H130=0,TRUE)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0" xr:uid="{00000000-0002-0000-1000-000020000000}">
      <formula1>IF(SUM(H112:I112)&gt;0,I130=0,TRUE)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1" xr:uid="{00000000-0002-0000-1000-000021000000}">
      <formula1>IF(SUM(H112:I112)&gt;0,H131=0,TRUE)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1" xr:uid="{00000000-0002-0000-1000-000022000000}">
      <formula1>IF(SUM(H112:I112)&gt;0,I131=0,TRUE)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2" xr:uid="{00000000-0002-0000-1000-000023000000}">
      <formula1>IF(SUM(H112:I112)&gt;0,H132=0,TRUE)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2" xr:uid="{00000000-0002-0000-1000-000024000000}">
      <formula1>IF(SUM(H112:I112)&gt;0,I132=0,TRUE)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3" xr:uid="{00000000-0002-0000-1000-000025000000}">
      <formula1>IF(SUM(H112:I112)&gt;0,H133=0,TRUE)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3" xr:uid="{00000000-0002-0000-1000-000026000000}">
      <formula1>IF(SUM(H112:I112)&gt;0,I133=0,TRUE)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4" xr:uid="{00000000-0002-0000-1000-000027000000}">
      <formula1>IF(SUM(H112:I112)&gt;0,H134=0,TRUE)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4" xr:uid="{00000000-0002-0000-1000-000028000000}">
      <formula1>IF(SUM(H112:I112)&gt;0,I134=0,TRUE)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H135" xr:uid="{00000000-0002-0000-1000-000029000000}">
      <formula1>IF(SUM(H112:I112)&gt;0,H135=0,TRUE)</formula1>
    </dataValidation>
    <dataValidation type="custom" allowBlank="1" showInputMessage="1" showErrorMessage="1" errorTitle="各項目での比較時のみ記入" error="採用業者全体金額が記入されています。_x000a_どちらかしか記入できません。" sqref="I135" xr:uid="{00000000-0002-0000-1000-00002A000000}">
      <formula1>IF(SUM(H112:I112)&gt;0,I135=0,TRUE)</formula1>
    </dataValidation>
    <dataValidation type="custom" allowBlank="1" showInputMessage="1" showErrorMessage="1" errorTitle="全体での比較する時のみ記入" error="各項目の元設計比較欄に金額が記入されています。_x000a_どちらかしか記入できません。" promptTitle="今回業者が元設計見積業者に含まれる時のみ記入" prompt="各項目で比較する場合、無記入。_x000a__x000a_変更見積業者が元設計業者に含まれる場合、_x000a_元設計の今回変更業者の調整前合計金額を記入。" sqref="I112" xr:uid="{00000000-0002-0000-1000-00002B000000}">
      <formula1>IF(SUM(H115:I135)&gt;0,I112=0,TRUE)</formula1>
    </dataValidation>
    <dataValidation type="list" allowBlank="1" showInputMessage="1" showErrorMessage="1" prompt="費用/建物附属設備/工具・器具・備品の場合、選択してください。" sqref="N53:N70" xr:uid="{00000000-0002-0000-1000-00002C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2:AI71"/>
  <sheetViews>
    <sheetView topLeftCell="A25" zoomScale="75" zoomScaleNormal="75" workbookViewId="0">
      <selection activeCell="J47" sqref="J47:L47"/>
    </sheetView>
  </sheetViews>
  <sheetFormatPr baseColWidth="10" defaultColWidth="6.6640625" defaultRowHeight="26" customHeight="1"/>
  <cols>
    <col min="1" max="2" width="2.6640625" style="6" customWidth="1"/>
    <col min="3" max="3" width="8.6640625" style="1" customWidth="1"/>
    <col min="4" max="4" width="28.6640625" style="1" customWidth="1"/>
    <col min="5" max="5" width="25" style="2" customWidth="1"/>
    <col min="6" max="6" width="10.6640625" style="1" customWidth="1"/>
    <col min="7" max="7" width="7.6640625" style="3" customWidth="1"/>
    <col min="8" max="8" width="11.6640625" style="4" customWidth="1"/>
    <col min="9" max="9" width="15.6640625" style="4" customWidth="1"/>
    <col min="10" max="12" width="9.6640625" style="1" customWidth="1"/>
    <col min="13" max="13" width="5.6640625" style="1" customWidth="1"/>
    <col min="14" max="14" width="19.6640625" style="1" customWidth="1"/>
    <col min="15" max="16" width="5.1640625" style="39" customWidth="1"/>
    <col min="17" max="33" width="5.1640625" style="1" customWidth="1"/>
    <col min="34" max="16384" width="6.6640625" style="1"/>
  </cols>
  <sheetData>
    <row r="2" spans="1:33" ht="26" customHeight="1">
      <c r="C2" s="37" t="s">
        <v>14</v>
      </c>
      <c r="E2" s="36" t="s">
        <v>50</v>
      </c>
      <c r="F2" s="39">
        <v>0</v>
      </c>
      <c r="G2" s="1" t="s">
        <v>192</v>
      </c>
      <c r="H2" s="4">
        <f>表紙!H25</f>
        <v>11</v>
      </c>
      <c r="I2" s="4" t="s">
        <v>56</v>
      </c>
      <c r="J2" s="39">
        <f>VLOOKUP("EOL",$M$25:$N$65536,2,FALSE)</f>
        <v>3</v>
      </c>
    </row>
    <row r="3" spans="1:33" ht="26" customHeight="1" thickBot="1">
      <c r="C3" s="2741" t="s">
        <v>319</v>
      </c>
      <c r="D3" s="2741"/>
      <c r="E3" s="2741"/>
      <c r="F3" s="2741"/>
      <c r="G3" s="2741"/>
      <c r="H3" s="2741"/>
      <c r="I3" s="2741"/>
      <c r="J3" s="2741"/>
      <c r="K3" s="2741"/>
      <c r="L3" s="2741"/>
      <c r="O3" s="2735" t="s">
        <v>132</v>
      </c>
      <c r="P3" s="2736"/>
      <c r="Q3" s="2736"/>
      <c r="R3" s="2736"/>
      <c r="S3" s="2736"/>
      <c r="T3" s="2736"/>
      <c r="U3" s="2736"/>
      <c r="V3" s="2736"/>
      <c r="W3" s="2736"/>
      <c r="X3" s="2736"/>
      <c r="Y3" s="2736"/>
      <c r="Z3" s="2736"/>
      <c r="AA3" s="2736"/>
      <c r="AB3" s="2736"/>
      <c r="AC3" s="2736"/>
      <c r="AD3" s="2736"/>
      <c r="AE3" s="2736"/>
      <c r="AF3" s="2736"/>
      <c r="AG3" s="2737"/>
    </row>
    <row r="4" spans="1:33" ht="42" customHeight="1">
      <c r="A4" s="5" t="s">
        <v>12</v>
      </c>
      <c r="B4" s="5" t="s">
        <v>9</v>
      </c>
      <c r="C4" s="110" t="s">
        <v>0</v>
      </c>
      <c r="D4" s="106"/>
      <c r="E4" s="107" t="s">
        <v>1</v>
      </c>
      <c r="F4" s="108" t="s">
        <v>2</v>
      </c>
      <c r="G4" s="108" t="s">
        <v>3</v>
      </c>
      <c r="H4" s="109" t="s">
        <v>4</v>
      </c>
      <c r="I4" s="109" t="s">
        <v>5</v>
      </c>
      <c r="J4" s="2742" t="s">
        <v>6</v>
      </c>
      <c r="K4" s="2743"/>
      <c r="L4" s="2744"/>
      <c r="O4" s="154" t="s">
        <v>67</v>
      </c>
      <c r="P4" s="385" t="s">
        <v>264</v>
      </c>
      <c r="Q4" s="153" t="s">
        <v>210</v>
      </c>
      <c r="R4" s="276" t="s">
        <v>212</v>
      </c>
      <c r="S4" s="276" t="s">
        <v>213</v>
      </c>
      <c r="T4" s="276" t="s">
        <v>265</v>
      </c>
      <c r="U4" s="276" t="s">
        <v>126</v>
      </c>
      <c r="V4" s="153" t="s">
        <v>125</v>
      </c>
      <c r="W4" s="276" t="s">
        <v>266</v>
      </c>
      <c r="X4" s="220" t="s">
        <v>214</v>
      </c>
      <c r="Y4" s="220" t="s">
        <v>215</v>
      </c>
      <c r="Z4" s="220" t="s">
        <v>216</v>
      </c>
      <c r="AA4" s="220" t="s">
        <v>217</v>
      </c>
      <c r="AB4" s="158" t="s">
        <v>267</v>
      </c>
      <c r="AC4" s="155" t="s">
        <v>128</v>
      </c>
      <c r="AD4" s="152" t="s">
        <v>131</v>
      </c>
      <c r="AE4" s="152" t="s">
        <v>129</v>
      </c>
      <c r="AF4" s="152" t="s">
        <v>130</v>
      </c>
      <c r="AG4" s="152"/>
    </row>
    <row r="5" spans="1:33" ht="24" customHeight="1">
      <c r="A5" s="7"/>
      <c r="B5" s="7"/>
      <c r="C5" s="111" t="str">
        <f>+C2</f>
        <v>○○工事の部</v>
      </c>
      <c r="D5" s="112"/>
      <c r="E5" s="97"/>
      <c r="F5" s="292"/>
      <c r="G5" s="113"/>
      <c r="H5" s="83" t="s">
        <v>11</v>
      </c>
      <c r="I5" s="83" t="s">
        <v>11</v>
      </c>
      <c r="J5" s="2738"/>
      <c r="K5" s="2739"/>
      <c r="L5" s="2740"/>
      <c r="O5" s="227"/>
      <c r="P5" s="228"/>
      <c r="Q5" s="229"/>
      <c r="R5" s="229"/>
      <c r="S5" s="229"/>
      <c r="T5" s="229"/>
      <c r="U5" s="229"/>
      <c r="V5" s="229"/>
      <c r="W5" s="229"/>
      <c r="X5" s="230"/>
      <c r="Y5" s="230"/>
      <c r="Z5" s="230"/>
      <c r="AA5" s="230"/>
      <c r="AB5" s="232"/>
      <c r="AC5" s="231"/>
      <c r="AD5" s="229"/>
      <c r="AE5" s="229"/>
      <c r="AF5" s="229"/>
      <c r="AG5" s="229"/>
    </row>
    <row r="6" spans="1:33" s="39" customFormat="1" ht="24" customHeight="1">
      <c r="A6" s="38"/>
      <c r="B6" s="38"/>
      <c r="C6" s="191" t="s">
        <v>144</v>
      </c>
      <c r="D6" s="65"/>
      <c r="E6" s="99"/>
      <c r="F6" s="274"/>
      <c r="G6" s="115"/>
      <c r="H6" s="101"/>
      <c r="I6" s="101"/>
      <c r="J6" s="65"/>
      <c r="K6" s="65"/>
      <c r="L6" s="66"/>
      <c r="O6" s="227"/>
      <c r="P6" s="228"/>
      <c r="Q6" s="229"/>
      <c r="R6" s="229"/>
      <c r="S6" s="229"/>
      <c r="T6" s="229"/>
      <c r="U6" s="229"/>
      <c r="V6" s="229"/>
      <c r="W6" s="229"/>
      <c r="X6" s="230"/>
      <c r="Y6" s="230"/>
      <c r="Z6" s="230"/>
      <c r="AA6" s="230"/>
      <c r="AB6" s="232"/>
      <c r="AC6" s="231"/>
      <c r="AD6" s="229"/>
      <c r="AE6" s="229"/>
      <c r="AF6" s="229"/>
      <c r="AG6" s="229"/>
    </row>
    <row r="7" spans="1:33" s="39" customFormat="1" ht="24" customHeight="1">
      <c r="A7" s="38"/>
      <c r="B7" s="38"/>
      <c r="C7" s="102"/>
      <c r="D7" s="65"/>
      <c r="E7" s="99"/>
      <c r="F7" s="274"/>
      <c r="G7" s="115"/>
      <c r="H7" s="101"/>
      <c r="I7" s="101"/>
      <c r="J7" s="65"/>
      <c r="K7" s="65"/>
      <c r="L7" s="66"/>
      <c r="O7" s="227"/>
      <c r="P7" s="228"/>
      <c r="Q7" s="229"/>
      <c r="R7" s="229"/>
      <c r="S7" s="229"/>
      <c r="T7" s="229"/>
      <c r="U7" s="229"/>
      <c r="V7" s="229"/>
      <c r="W7" s="229"/>
      <c r="X7" s="230"/>
      <c r="Y7" s="230"/>
      <c r="Z7" s="230"/>
      <c r="AA7" s="230"/>
      <c r="AB7" s="232"/>
      <c r="AC7" s="231"/>
      <c r="AD7" s="229"/>
      <c r="AE7" s="229"/>
      <c r="AF7" s="229"/>
      <c r="AG7" s="229"/>
    </row>
    <row r="8" spans="1:33" s="39" customFormat="1" ht="24" customHeight="1">
      <c r="A8" s="38"/>
      <c r="B8" s="38"/>
      <c r="C8" s="102"/>
      <c r="D8" s="65"/>
      <c r="E8" s="99"/>
      <c r="F8" s="274"/>
      <c r="G8" s="115"/>
      <c r="H8" s="101"/>
      <c r="I8" s="101"/>
      <c r="J8" s="65"/>
      <c r="K8" s="65"/>
      <c r="L8" s="66"/>
      <c r="O8" s="227"/>
      <c r="P8" s="228"/>
      <c r="Q8" s="229"/>
      <c r="R8" s="229"/>
      <c r="S8" s="229"/>
      <c r="T8" s="229"/>
      <c r="U8" s="229"/>
      <c r="V8" s="229"/>
      <c r="W8" s="229"/>
      <c r="X8" s="230"/>
      <c r="Y8" s="230"/>
      <c r="Z8" s="230"/>
      <c r="AA8" s="230"/>
      <c r="AB8" s="232"/>
      <c r="AC8" s="231"/>
      <c r="AD8" s="229"/>
      <c r="AE8" s="229"/>
      <c r="AF8" s="229"/>
      <c r="AG8" s="229"/>
    </row>
    <row r="9" spans="1:33" s="39" customFormat="1" ht="24" customHeight="1">
      <c r="A9" s="38"/>
      <c r="B9" s="38"/>
      <c r="C9" s="102"/>
      <c r="D9" s="65"/>
      <c r="E9" s="99"/>
      <c r="F9" s="274"/>
      <c r="G9" s="115"/>
      <c r="H9" s="101"/>
      <c r="I9" s="101"/>
      <c r="J9" s="65"/>
      <c r="K9" s="65"/>
      <c r="L9" s="66"/>
      <c r="O9" s="227"/>
      <c r="P9" s="228"/>
      <c r="Q9" s="229"/>
      <c r="R9" s="229"/>
      <c r="S9" s="229"/>
      <c r="T9" s="229"/>
      <c r="U9" s="229"/>
      <c r="V9" s="229"/>
      <c r="W9" s="229"/>
      <c r="X9" s="230"/>
      <c r="Y9" s="230"/>
      <c r="Z9" s="230"/>
      <c r="AA9" s="230"/>
      <c r="AB9" s="232"/>
      <c r="AC9" s="231"/>
      <c r="AD9" s="229"/>
      <c r="AE9" s="229"/>
      <c r="AF9" s="229"/>
      <c r="AG9" s="229"/>
    </row>
    <row r="10" spans="1:33" s="39" customFormat="1" ht="24" customHeight="1">
      <c r="A10" s="38"/>
      <c r="B10" s="38"/>
      <c r="C10" s="102"/>
      <c r="D10" s="65"/>
      <c r="E10" s="99"/>
      <c r="F10" s="274"/>
      <c r="G10" s="115"/>
      <c r="H10" s="101"/>
      <c r="I10" s="101"/>
      <c r="J10" s="65"/>
      <c r="K10" s="65"/>
      <c r="L10" s="66"/>
      <c r="O10" s="227"/>
      <c r="P10" s="228"/>
      <c r="Q10" s="229"/>
      <c r="R10" s="229"/>
      <c r="S10" s="229"/>
      <c r="T10" s="229"/>
      <c r="U10" s="229"/>
      <c r="V10" s="229"/>
      <c r="W10" s="229"/>
      <c r="X10" s="230"/>
      <c r="Y10" s="230"/>
      <c r="Z10" s="230"/>
      <c r="AA10" s="230"/>
      <c r="AB10" s="232"/>
      <c r="AC10" s="231"/>
      <c r="AD10" s="229"/>
      <c r="AE10" s="229"/>
      <c r="AF10" s="229"/>
      <c r="AG10" s="229"/>
    </row>
    <row r="11" spans="1:33" s="39" customFormat="1" ht="24" customHeight="1">
      <c r="A11" s="38"/>
      <c r="B11" s="38"/>
      <c r="C11" s="102"/>
      <c r="D11" s="65"/>
      <c r="E11" s="99"/>
      <c r="F11" s="274"/>
      <c r="G11" s="115"/>
      <c r="H11" s="101"/>
      <c r="I11" s="101"/>
      <c r="J11" s="65"/>
      <c r="K11" s="65"/>
      <c r="L11" s="66"/>
      <c r="O11" s="227"/>
      <c r="P11" s="228"/>
      <c r="Q11" s="229"/>
      <c r="R11" s="229"/>
      <c r="S11" s="229"/>
      <c r="T11" s="229"/>
      <c r="U11" s="229"/>
      <c r="V11" s="229"/>
      <c r="W11" s="229"/>
      <c r="X11" s="230"/>
      <c r="Y11" s="230"/>
      <c r="Z11" s="230"/>
      <c r="AA11" s="230"/>
      <c r="AB11" s="232"/>
      <c r="AC11" s="231"/>
      <c r="AD11" s="229"/>
      <c r="AE11" s="229"/>
      <c r="AF11" s="229"/>
      <c r="AG11" s="229"/>
    </row>
    <row r="12" spans="1:33" s="39" customFormat="1" ht="24" customHeight="1">
      <c r="A12" s="38"/>
      <c r="B12" s="38"/>
      <c r="C12" s="102"/>
      <c r="D12" s="65"/>
      <c r="E12" s="99"/>
      <c r="F12" s="274"/>
      <c r="G12" s="115"/>
      <c r="H12" s="101"/>
      <c r="I12" s="101"/>
      <c r="J12" s="65"/>
      <c r="K12" s="65"/>
      <c r="L12" s="66"/>
      <c r="O12" s="227"/>
      <c r="P12" s="228"/>
      <c r="Q12" s="229"/>
      <c r="R12" s="229"/>
      <c r="S12" s="229"/>
      <c r="T12" s="229"/>
      <c r="U12" s="229"/>
      <c r="V12" s="229"/>
      <c r="W12" s="229"/>
      <c r="X12" s="230"/>
      <c r="Y12" s="230"/>
      <c r="Z12" s="230"/>
      <c r="AA12" s="230"/>
      <c r="AB12" s="232"/>
      <c r="AC12" s="231"/>
      <c r="AD12" s="229"/>
      <c r="AE12" s="229"/>
      <c r="AF12" s="229"/>
      <c r="AG12" s="229"/>
    </row>
    <row r="13" spans="1:33" s="39" customFormat="1" ht="24" customHeight="1">
      <c r="A13" s="38"/>
      <c r="B13" s="38"/>
      <c r="C13" s="102"/>
      <c r="D13" s="65"/>
      <c r="E13" s="99"/>
      <c r="F13" s="274"/>
      <c r="G13" s="115"/>
      <c r="H13" s="101"/>
      <c r="I13" s="101"/>
      <c r="J13" s="65"/>
      <c r="K13" s="65"/>
      <c r="L13" s="66"/>
      <c r="O13" s="227"/>
      <c r="P13" s="228"/>
      <c r="Q13" s="229"/>
      <c r="R13" s="229"/>
      <c r="S13" s="229"/>
      <c r="T13" s="229"/>
      <c r="U13" s="229"/>
      <c r="V13" s="229"/>
      <c r="W13" s="229"/>
      <c r="X13" s="230"/>
      <c r="Y13" s="230"/>
      <c r="Z13" s="230"/>
      <c r="AA13" s="230"/>
      <c r="AB13" s="232"/>
      <c r="AC13" s="231"/>
      <c r="AD13" s="229"/>
      <c r="AE13" s="229"/>
      <c r="AF13" s="229"/>
      <c r="AG13" s="229"/>
    </row>
    <row r="14" spans="1:33" s="39" customFormat="1" ht="24" customHeight="1">
      <c r="A14" s="38"/>
      <c r="B14" s="38"/>
      <c r="C14" s="102"/>
      <c r="D14" s="65"/>
      <c r="E14" s="99"/>
      <c r="F14" s="274"/>
      <c r="G14" s="115"/>
      <c r="H14" s="101"/>
      <c r="I14" s="101"/>
      <c r="J14" s="65"/>
      <c r="K14" s="65"/>
      <c r="L14" s="66"/>
      <c r="O14" s="227"/>
      <c r="P14" s="228"/>
      <c r="Q14" s="229"/>
      <c r="R14" s="229"/>
      <c r="S14" s="229"/>
      <c r="T14" s="229"/>
      <c r="U14" s="229"/>
      <c r="V14" s="229"/>
      <c r="W14" s="229"/>
      <c r="X14" s="230"/>
      <c r="Y14" s="230"/>
      <c r="Z14" s="230"/>
      <c r="AA14" s="230"/>
      <c r="AB14" s="232"/>
      <c r="AC14" s="231"/>
      <c r="AD14" s="229"/>
      <c r="AE14" s="229"/>
      <c r="AF14" s="229"/>
      <c r="AG14" s="229"/>
    </row>
    <row r="15" spans="1:33" s="39" customFormat="1" ht="24" customHeight="1">
      <c r="A15" s="38"/>
      <c r="B15" s="38"/>
      <c r="C15" s="102"/>
      <c r="D15" s="65"/>
      <c r="E15" s="99"/>
      <c r="F15" s="274"/>
      <c r="G15" s="115"/>
      <c r="H15" s="101"/>
      <c r="I15" s="101"/>
      <c r="J15" s="65"/>
      <c r="K15" s="65"/>
      <c r="L15" s="66"/>
      <c r="O15" s="227"/>
      <c r="P15" s="228"/>
      <c r="Q15" s="229"/>
      <c r="R15" s="229"/>
      <c r="S15" s="229"/>
      <c r="T15" s="229"/>
      <c r="U15" s="229"/>
      <c r="V15" s="229"/>
      <c r="W15" s="229"/>
      <c r="X15" s="230"/>
      <c r="Y15" s="230"/>
      <c r="Z15" s="230"/>
      <c r="AA15" s="230"/>
      <c r="AB15" s="232"/>
      <c r="AC15" s="231"/>
      <c r="AD15" s="229"/>
      <c r="AE15" s="229"/>
      <c r="AF15" s="229"/>
      <c r="AG15" s="229"/>
    </row>
    <row r="16" spans="1:33" s="39" customFormat="1" ht="24" customHeight="1">
      <c r="A16" s="38"/>
      <c r="B16" s="38"/>
      <c r="C16" s="102"/>
      <c r="D16" s="65" t="s">
        <v>48</v>
      </c>
      <c r="E16" s="99"/>
      <c r="F16" s="274"/>
      <c r="G16" s="115"/>
      <c r="H16" s="101"/>
      <c r="I16" s="101">
        <f>SUM(I7:I14)</f>
        <v>0</v>
      </c>
      <c r="J16" s="824" t="str">
        <f>IF(COUNTIF(N:N,"費用")=0,"","うち費用")</f>
        <v/>
      </c>
      <c r="K16" s="825" t="str">
        <f>IF(COUNTIF(N:N,"費用")=0,"",SUMIF(N:N,"費用",I:I))</f>
        <v/>
      </c>
      <c r="L16" s="66"/>
      <c r="O16" s="227"/>
      <c r="P16" s="228"/>
      <c r="Q16" s="229"/>
      <c r="R16" s="229"/>
      <c r="S16" s="229"/>
      <c r="T16" s="229"/>
      <c r="U16" s="229"/>
      <c r="V16" s="229"/>
      <c r="W16" s="229"/>
      <c r="X16" s="230"/>
      <c r="Y16" s="230"/>
      <c r="Z16" s="230"/>
      <c r="AA16" s="230"/>
      <c r="AB16" s="232"/>
      <c r="AC16" s="231"/>
      <c r="AD16" s="229"/>
      <c r="AE16" s="229"/>
      <c r="AF16" s="229"/>
      <c r="AG16" s="229"/>
    </row>
    <row r="17" spans="1:35" s="39" customFormat="1" ht="24" customHeight="1">
      <c r="A17" s="38"/>
      <c r="B17" s="38"/>
      <c r="C17" s="102"/>
      <c r="D17" s="116"/>
      <c r="E17" s="99"/>
      <c r="F17" s="274"/>
      <c r="G17" s="115"/>
      <c r="H17" s="101"/>
      <c r="I17" s="101"/>
      <c r="J17" s="65"/>
      <c r="K17" s="65"/>
      <c r="L17" s="66"/>
      <c r="O17" s="227"/>
      <c r="P17" s="228"/>
      <c r="Q17" s="229"/>
      <c r="R17" s="229"/>
      <c r="S17" s="229"/>
      <c r="T17" s="229"/>
      <c r="U17" s="229"/>
      <c r="V17" s="229"/>
      <c r="W17" s="229"/>
      <c r="X17" s="230"/>
      <c r="Y17" s="230"/>
      <c r="Z17" s="230"/>
      <c r="AA17" s="230"/>
      <c r="AB17" s="232"/>
      <c r="AC17" s="231"/>
      <c r="AD17" s="229"/>
      <c r="AE17" s="229"/>
      <c r="AF17" s="229"/>
      <c r="AG17" s="229"/>
    </row>
    <row r="18" spans="1:35" s="39" customFormat="1" ht="24" customHeight="1">
      <c r="A18" s="38"/>
      <c r="B18" s="38"/>
      <c r="C18" s="191" t="s">
        <v>145</v>
      </c>
      <c r="D18" s="65"/>
      <c r="E18" s="99"/>
      <c r="F18" s="274"/>
      <c r="G18" s="115"/>
      <c r="H18" s="101"/>
      <c r="I18" s="101"/>
      <c r="J18" s="65"/>
      <c r="K18" s="65"/>
      <c r="L18" s="66"/>
      <c r="O18" s="227"/>
      <c r="P18" s="228"/>
      <c r="Q18" s="229"/>
      <c r="R18" s="229"/>
      <c r="S18" s="229"/>
      <c r="T18" s="229"/>
      <c r="U18" s="229"/>
      <c r="V18" s="229"/>
      <c r="W18" s="229"/>
      <c r="X18" s="230"/>
      <c r="Y18" s="230"/>
      <c r="Z18" s="230"/>
      <c r="AA18" s="230"/>
      <c r="AB18" s="232"/>
      <c r="AC18" s="231"/>
      <c r="AD18" s="229"/>
      <c r="AE18" s="229"/>
      <c r="AF18" s="229"/>
      <c r="AG18" s="229"/>
    </row>
    <row r="19" spans="1:35" s="39" customFormat="1" ht="24" customHeight="1">
      <c r="A19" s="38"/>
      <c r="B19" s="38"/>
      <c r="C19" s="102"/>
      <c r="D19" s="65"/>
      <c r="E19" s="99"/>
      <c r="F19" s="274"/>
      <c r="G19" s="115"/>
      <c r="H19" s="101"/>
      <c r="I19" s="101"/>
      <c r="J19" s="65"/>
      <c r="K19" s="65"/>
      <c r="L19" s="66"/>
      <c r="O19" s="227"/>
      <c r="P19" s="228"/>
      <c r="Q19" s="229"/>
      <c r="R19" s="229"/>
      <c r="S19" s="229"/>
      <c r="T19" s="229"/>
      <c r="U19" s="229"/>
      <c r="V19" s="229"/>
      <c r="W19" s="229"/>
      <c r="X19" s="230"/>
      <c r="Y19" s="230"/>
      <c r="Z19" s="230"/>
      <c r="AA19" s="230"/>
      <c r="AB19" s="232"/>
      <c r="AC19" s="231"/>
      <c r="AD19" s="229"/>
      <c r="AE19" s="229"/>
      <c r="AF19" s="229"/>
      <c r="AG19" s="229"/>
    </row>
    <row r="20" spans="1:35" s="39" customFormat="1" ht="24" customHeight="1">
      <c r="A20" s="38"/>
      <c r="B20" s="38"/>
      <c r="C20" s="102"/>
      <c r="D20" s="65" t="s">
        <v>146</v>
      </c>
      <c r="E20" s="99"/>
      <c r="F20" s="274">
        <v>1</v>
      </c>
      <c r="G20" s="115" t="s">
        <v>7</v>
      </c>
      <c r="H20" s="101"/>
      <c r="I20" s="101"/>
      <c r="J20" s="192"/>
      <c r="K20" s="65"/>
      <c r="L20" s="66"/>
      <c r="O20" s="227"/>
      <c r="P20" s="228"/>
      <c r="Q20" s="229"/>
      <c r="R20" s="229"/>
      <c r="S20" s="229"/>
      <c r="T20" s="229"/>
      <c r="U20" s="229"/>
      <c r="V20" s="229"/>
      <c r="W20" s="229"/>
      <c r="X20" s="230"/>
      <c r="Y20" s="230"/>
      <c r="Z20" s="230"/>
      <c r="AA20" s="230"/>
      <c r="AB20" s="232"/>
      <c r="AC20" s="231"/>
      <c r="AD20" s="229"/>
      <c r="AE20" s="229"/>
      <c r="AF20" s="229"/>
      <c r="AG20" s="229"/>
    </row>
    <row r="21" spans="1:35" s="39" customFormat="1" ht="24" customHeight="1">
      <c r="A21" s="38"/>
      <c r="B21" s="38"/>
      <c r="C21" s="102"/>
      <c r="D21" s="65"/>
      <c r="E21" s="99"/>
      <c r="F21" s="274"/>
      <c r="G21" s="115"/>
      <c r="H21" s="101"/>
      <c r="I21" s="101"/>
      <c r="J21" s="65"/>
      <c r="K21" s="65"/>
      <c r="L21" s="66"/>
      <c r="O21" s="227"/>
      <c r="P21" s="228"/>
      <c r="Q21" s="229"/>
      <c r="R21" s="229"/>
      <c r="S21" s="229"/>
      <c r="T21" s="229"/>
      <c r="U21" s="229"/>
      <c r="V21" s="229"/>
      <c r="W21" s="229"/>
      <c r="X21" s="230"/>
      <c r="Y21" s="230"/>
      <c r="Z21" s="230"/>
      <c r="AA21" s="230"/>
      <c r="AB21" s="232"/>
      <c r="AC21" s="231"/>
      <c r="AD21" s="229"/>
      <c r="AE21" s="229"/>
      <c r="AF21" s="229"/>
      <c r="AG21" s="229"/>
    </row>
    <row r="22" spans="1:35" s="39" customFormat="1" ht="24" customHeight="1">
      <c r="A22" s="38"/>
      <c r="B22" s="38"/>
      <c r="C22" s="102"/>
      <c r="D22" s="65" t="s">
        <v>233</v>
      </c>
      <c r="E22" s="99"/>
      <c r="F22" s="274"/>
      <c r="G22" s="115"/>
      <c r="H22" s="101"/>
      <c r="I22" s="101">
        <f>I20+I16</f>
        <v>0</v>
      </c>
      <c r="J22" s="65"/>
      <c r="K22" s="65"/>
      <c r="L22" s="66"/>
      <c r="O22" s="227"/>
      <c r="P22" s="228"/>
      <c r="Q22" s="229"/>
      <c r="R22" s="229"/>
      <c r="S22" s="229"/>
      <c r="T22" s="229"/>
      <c r="U22" s="229"/>
      <c r="V22" s="229"/>
      <c r="W22" s="229"/>
      <c r="X22" s="230"/>
      <c r="Y22" s="230"/>
      <c r="Z22" s="230"/>
      <c r="AA22" s="230"/>
      <c r="AB22" s="232"/>
      <c r="AC22" s="231"/>
      <c r="AD22" s="229"/>
      <c r="AE22" s="229"/>
      <c r="AF22" s="229"/>
      <c r="AG22" s="229"/>
    </row>
    <row r="23" spans="1:35" s="39" customFormat="1" ht="24" customHeight="1">
      <c r="A23" s="38"/>
      <c r="B23" s="38"/>
      <c r="C23" s="102"/>
      <c r="D23" s="65"/>
      <c r="E23" s="99"/>
      <c r="F23" s="274"/>
      <c r="G23" s="115"/>
      <c r="H23" s="101"/>
      <c r="I23" s="101"/>
      <c r="J23" s="65"/>
      <c r="K23" s="65"/>
      <c r="L23" s="66"/>
      <c r="O23" s="227"/>
      <c r="P23" s="228"/>
      <c r="Q23" s="229"/>
      <c r="R23" s="229"/>
      <c r="S23" s="229"/>
      <c r="T23" s="229"/>
      <c r="U23" s="229"/>
      <c r="V23" s="229"/>
      <c r="W23" s="229"/>
      <c r="X23" s="230"/>
      <c r="Y23" s="230"/>
      <c r="Z23" s="230"/>
      <c r="AA23" s="230"/>
      <c r="AB23" s="232"/>
      <c r="AC23" s="231"/>
      <c r="AD23" s="229"/>
      <c r="AE23" s="229"/>
      <c r="AF23" s="229"/>
      <c r="AG23" s="229"/>
    </row>
    <row r="24" spans="1:35" ht="24" customHeight="1" thickBot="1">
      <c r="A24" s="38"/>
      <c r="B24" s="38"/>
      <c r="C24" s="103"/>
      <c r="D24" s="92" t="s">
        <v>234</v>
      </c>
      <c r="E24" s="104"/>
      <c r="F24" s="275"/>
      <c r="G24" s="118"/>
      <c r="H24" s="127" t="s">
        <v>70</v>
      </c>
      <c r="I24" s="105"/>
      <c r="J24" s="92" t="s">
        <v>71</v>
      </c>
      <c r="K24" s="92"/>
      <c r="L24" s="119"/>
      <c r="O24" s="227"/>
      <c r="P24" s="228"/>
      <c r="Q24" s="229"/>
      <c r="R24" s="229"/>
      <c r="S24" s="229"/>
      <c r="T24" s="229"/>
      <c r="U24" s="229"/>
      <c r="V24" s="229"/>
      <c r="W24" s="229"/>
      <c r="X24" s="230"/>
      <c r="Y24" s="230"/>
      <c r="Z24" s="230"/>
      <c r="AA24" s="230"/>
      <c r="AB24" s="232"/>
      <c r="AC24" s="231"/>
      <c r="AD24" s="229"/>
      <c r="AE24" s="229"/>
      <c r="AF24" s="229"/>
      <c r="AG24" s="229"/>
    </row>
    <row r="25" spans="1:35" ht="14.25" customHeight="1">
      <c r="E25" s="120" t="s">
        <v>86</v>
      </c>
      <c r="F25" s="121">
        <f>+F2+1</f>
        <v>1</v>
      </c>
      <c r="G25" s="122" t="s">
        <v>87</v>
      </c>
      <c r="H25" s="123">
        <f>H2</f>
        <v>11</v>
      </c>
      <c r="M25" s="40" t="str">
        <f>IF(A27="","EOL","")</f>
        <v/>
      </c>
      <c r="N25" s="1">
        <f>+F25</f>
        <v>1</v>
      </c>
    </row>
    <row r="26" spans="1:35" ht="26" customHeight="1" thickBot="1">
      <c r="C26" s="2741" t="s">
        <v>319</v>
      </c>
      <c r="D26" s="2741"/>
      <c r="E26" s="2741"/>
      <c r="F26" s="2741"/>
      <c r="G26" s="2741"/>
      <c r="H26" s="2741"/>
      <c r="I26" s="2741"/>
      <c r="J26" s="2741"/>
      <c r="K26" s="2741"/>
      <c r="L26" s="2741"/>
      <c r="O26" s="2735" t="s">
        <v>132</v>
      </c>
      <c r="P26" s="2736"/>
      <c r="Q26" s="2736"/>
      <c r="R26" s="2736"/>
      <c r="S26" s="2736"/>
      <c r="T26" s="2736"/>
      <c r="U26" s="2736"/>
      <c r="V26" s="2736"/>
      <c r="W26" s="2736"/>
      <c r="X26" s="2736"/>
      <c r="Y26" s="2736"/>
      <c r="Z26" s="2736"/>
      <c r="AA26" s="2736"/>
      <c r="AB26" s="2736"/>
      <c r="AC26" s="2736"/>
      <c r="AD26" s="2736"/>
      <c r="AE26" s="2736"/>
      <c r="AF26" s="2736"/>
      <c r="AG26" s="2737"/>
    </row>
    <row r="27" spans="1:35" ht="42" customHeight="1">
      <c r="A27" s="5" t="s">
        <v>12</v>
      </c>
      <c r="B27" s="5" t="s">
        <v>9</v>
      </c>
      <c r="C27" s="110" t="s">
        <v>0</v>
      </c>
      <c r="D27" s="106"/>
      <c r="E27" s="107" t="s">
        <v>1</v>
      </c>
      <c r="F27" s="108" t="s">
        <v>2</v>
      </c>
      <c r="G27" s="108" t="s">
        <v>3</v>
      </c>
      <c r="H27" s="109" t="s">
        <v>4</v>
      </c>
      <c r="I27" s="109" t="s">
        <v>5</v>
      </c>
      <c r="J27" s="2742" t="s">
        <v>6</v>
      </c>
      <c r="K27" s="2743"/>
      <c r="L27" s="2744"/>
      <c r="M27" s="821"/>
      <c r="N27" s="818"/>
      <c r="O27" s="816" t="s">
        <v>67</v>
      </c>
      <c r="P27" s="385" t="s">
        <v>264</v>
      </c>
      <c r="Q27" s="153" t="s">
        <v>210</v>
      </c>
      <c r="R27" s="276" t="s">
        <v>212</v>
      </c>
      <c r="S27" s="276" t="s">
        <v>213</v>
      </c>
      <c r="T27" s="276" t="s">
        <v>265</v>
      </c>
      <c r="U27" s="276" t="s">
        <v>126</v>
      </c>
      <c r="V27" s="153" t="s">
        <v>125</v>
      </c>
      <c r="W27" s="276" t="s">
        <v>266</v>
      </c>
      <c r="X27" s="220" t="s">
        <v>214</v>
      </c>
      <c r="Y27" s="220" t="s">
        <v>215</v>
      </c>
      <c r="Z27" s="220" t="s">
        <v>216</v>
      </c>
      <c r="AA27" s="220" t="s">
        <v>217</v>
      </c>
      <c r="AB27" s="158" t="s">
        <v>267</v>
      </c>
      <c r="AC27" s="155" t="s">
        <v>128</v>
      </c>
      <c r="AD27" s="152" t="s">
        <v>131</v>
      </c>
      <c r="AE27" s="152" t="s">
        <v>129</v>
      </c>
      <c r="AF27" s="152" t="s">
        <v>130</v>
      </c>
      <c r="AG27" s="152"/>
    </row>
    <row r="28" spans="1:35" ht="24" customHeight="1">
      <c r="A28" s="38"/>
      <c r="B28" s="38"/>
      <c r="C28" s="128" t="s">
        <v>148</v>
      </c>
      <c r="D28" s="96"/>
      <c r="E28" s="97"/>
      <c r="F28" s="273"/>
      <c r="G28" s="132"/>
      <c r="H28" s="91" t="s">
        <v>11</v>
      </c>
      <c r="I28" s="91" t="s">
        <v>11</v>
      </c>
      <c r="J28" s="2738"/>
      <c r="K28" s="2739"/>
      <c r="L28" s="2740"/>
      <c r="O28" s="227"/>
      <c r="P28" s="228"/>
      <c r="Q28" s="229"/>
      <c r="R28" s="229"/>
      <c r="S28" s="229"/>
      <c r="T28" s="229"/>
      <c r="U28" s="229"/>
      <c r="V28" s="229"/>
      <c r="W28" s="229"/>
      <c r="X28" s="230"/>
      <c r="Y28" s="230"/>
      <c r="Z28" s="230"/>
      <c r="AA28" s="230"/>
      <c r="AB28" s="230"/>
      <c r="AC28" s="229"/>
      <c r="AD28" s="461"/>
      <c r="AE28" s="462"/>
      <c r="AF28" s="229"/>
      <c r="AG28" s="229"/>
      <c r="AH28" s="463"/>
    </row>
    <row r="29" spans="1:35" s="39" customFormat="1" ht="24" customHeight="1">
      <c r="A29" s="38"/>
      <c r="B29" s="38"/>
      <c r="C29" s="102"/>
      <c r="D29" s="65" t="s">
        <v>2479</v>
      </c>
      <c r="E29" s="99"/>
      <c r="F29" s="274"/>
      <c r="G29" s="115"/>
      <c r="H29" s="133"/>
      <c r="I29" s="101" t="str">
        <f t="shared" ref="I29:I46" si="0">IF(F29="","",INT(F29*H29))</f>
        <v/>
      </c>
      <c r="J29" s="65"/>
      <c r="K29" s="65"/>
      <c r="L29" s="66"/>
      <c r="O29" s="227"/>
      <c r="P29" s="228"/>
      <c r="Q29" s="229"/>
      <c r="R29" s="229"/>
      <c r="S29" s="229"/>
      <c r="T29" s="229"/>
      <c r="U29" s="229"/>
      <c r="V29" s="229"/>
      <c r="W29" s="229"/>
      <c r="X29" s="230"/>
      <c r="Y29" s="230"/>
      <c r="Z29" s="230"/>
      <c r="AA29" s="230"/>
      <c r="AB29" s="230"/>
      <c r="AC29" s="229"/>
      <c r="AD29" s="461"/>
      <c r="AE29" s="462"/>
      <c r="AF29" s="229"/>
      <c r="AG29" s="229"/>
      <c r="AH29" s="229"/>
      <c r="AI29" s="789"/>
    </row>
    <row r="30" spans="1:35" s="39" customFormat="1" ht="24" customHeight="1">
      <c r="A30" s="38"/>
      <c r="B30" s="38"/>
      <c r="C30" s="102"/>
      <c r="D30" s="65" t="s">
        <v>2461</v>
      </c>
      <c r="E30" s="99"/>
      <c r="F30" s="274">
        <v>1</v>
      </c>
      <c r="G30" s="115" t="s">
        <v>2462</v>
      </c>
      <c r="H30" s="133"/>
      <c r="I30" s="101">
        <f t="shared" si="0"/>
        <v>0</v>
      </c>
      <c r="J30" s="65"/>
      <c r="K30" s="65"/>
      <c r="L30" s="66"/>
      <c r="O30" s="227"/>
      <c r="P30" s="228"/>
      <c r="Q30" s="229"/>
      <c r="R30" s="229"/>
      <c r="S30" s="229"/>
      <c r="T30" s="229"/>
      <c r="U30" s="229"/>
      <c r="V30" s="229"/>
      <c r="W30" s="229"/>
      <c r="X30" s="230"/>
      <c r="Y30" s="230"/>
      <c r="Z30" s="230"/>
      <c r="AA30" s="230"/>
      <c r="AB30" s="230"/>
      <c r="AC30" s="229"/>
      <c r="AD30" s="461"/>
      <c r="AE30" s="462"/>
      <c r="AF30" s="229"/>
      <c r="AG30" s="229"/>
      <c r="AH30" s="229"/>
      <c r="AI30" s="789"/>
    </row>
    <row r="31" spans="1:35" s="39" customFormat="1" ht="24" customHeight="1">
      <c r="A31" s="38"/>
      <c r="B31" s="38"/>
      <c r="C31" s="102"/>
      <c r="D31" s="65"/>
      <c r="E31" s="99"/>
      <c r="F31" s="274"/>
      <c r="G31" s="115"/>
      <c r="H31" s="133"/>
      <c r="I31" s="101" t="str">
        <f t="shared" si="0"/>
        <v/>
      </c>
      <c r="J31" s="65"/>
      <c r="K31" s="65"/>
      <c r="L31" s="66"/>
      <c r="O31" s="227"/>
      <c r="P31" s="228"/>
      <c r="Q31" s="229"/>
      <c r="R31" s="229"/>
      <c r="S31" s="229"/>
      <c r="T31" s="229"/>
      <c r="U31" s="229"/>
      <c r="V31" s="229"/>
      <c r="W31" s="229"/>
      <c r="X31" s="230"/>
      <c r="Y31" s="230"/>
      <c r="Z31" s="230"/>
      <c r="AA31" s="230"/>
      <c r="AB31" s="230"/>
      <c r="AC31" s="229"/>
      <c r="AD31" s="461"/>
      <c r="AE31" s="462"/>
      <c r="AF31" s="229"/>
      <c r="AG31" s="229"/>
      <c r="AH31" s="229"/>
      <c r="AI31" s="789"/>
    </row>
    <row r="32" spans="1:35" s="39" customFormat="1" ht="24" customHeight="1">
      <c r="A32" s="38"/>
      <c r="B32" s="38"/>
      <c r="C32" s="792"/>
      <c r="D32" s="793" t="s">
        <v>2480</v>
      </c>
      <c r="E32" s="794"/>
      <c r="F32" s="795"/>
      <c r="G32" s="796"/>
      <c r="H32" s="797"/>
      <c r="I32" s="798">
        <f>SUM(I30:I31)</f>
        <v>0</v>
      </c>
      <c r="J32" s="793"/>
      <c r="K32" s="793"/>
      <c r="L32" s="799"/>
      <c r="O32" s="227"/>
      <c r="P32" s="228"/>
      <c r="Q32" s="229"/>
      <c r="R32" s="229"/>
      <c r="S32" s="229"/>
      <c r="T32" s="229"/>
      <c r="U32" s="229"/>
      <c r="V32" s="229"/>
      <c r="W32" s="229"/>
      <c r="X32" s="230"/>
      <c r="Y32" s="230"/>
      <c r="Z32" s="230"/>
      <c r="AA32" s="230"/>
      <c r="AB32" s="230"/>
      <c r="AC32" s="229"/>
      <c r="AD32" s="461"/>
      <c r="AE32" s="462"/>
      <c r="AF32" s="229"/>
      <c r="AG32" s="229"/>
      <c r="AH32" s="229"/>
      <c r="AI32" s="789"/>
    </row>
    <row r="33" spans="1:35" s="39" customFormat="1" ht="24" customHeight="1">
      <c r="A33" s="38"/>
      <c r="B33" s="38"/>
      <c r="C33" s="800"/>
      <c r="D33" s="96"/>
      <c r="E33" s="97"/>
      <c r="F33" s="801"/>
      <c r="G33" s="132"/>
      <c r="H33" s="802"/>
      <c r="I33" s="803" t="str">
        <f t="shared" si="0"/>
        <v/>
      </c>
      <c r="J33" s="96"/>
      <c r="K33" s="96"/>
      <c r="L33" s="804"/>
      <c r="O33" s="227"/>
      <c r="P33" s="228"/>
      <c r="Q33" s="229"/>
      <c r="R33" s="229"/>
      <c r="S33" s="229"/>
      <c r="T33" s="229"/>
      <c r="U33" s="229"/>
      <c r="V33" s="229"/>
      <c r="W33" s="229"/>
      <c r="X33" s="230"/>
      <c r="Y33" s="230"/>
      <c r="Z33" s="230"/>
      <c r="AA33" s="230"/>
      <c r="AB33" s="230"/>
      <c r="AC33" s="229"/>
      <c r="AD33" s="461"/>
      <c r="AE33" s="462"/>
      <c r="AF33" s="229"/>
      <c r="AG33" s="229"/>
      <c r="AH33" s="229"/>
      <c r="AI33" s="789"/>
    </row>
    <row r="34" spans="1:35" s="39" customFormat="1" ht="24" customHeight="1">
      <c r="A34" s="38"/>
      <c r="B34" s="38"/>
      <c r="C34" s="102"/>
      <c r="D34" s="65" t="s">
        <v>2481</v>
      </c>
      <c r="E34" s="99"/>
      <c r="F34" s="274"/>
      <c r="G34" s="115"/>
      <c r="H34" s="133"/>
      <c r="I34" s="101" t="str">
        <f t="shared" si="0"/>
        <v/>
      </c>
      <c r="J34" s="65"/>
      <c r="K34" s="65"/>
      <c r="L34" s="66"/>
      <c r="O34" s="227"/>
      <c r="P34" s="228"/>
      <c r="Q34" s="229"/>
      <c r="R34" s="229"/>
      <c r="S34" s="229"/>
      <c r="T34" s="229"/>
      <c r="U34" s="229"/>
      <c r="V34" s="229"/>
      <c r="W34" s="229"/>
      <c r="X34" s="230"/>
      <c r="Y34" s="230"/>
      <c r="Z34" s="230"/>
      <c r="AA34" s="230"/>
      <c r="AB34" s="230"/>
      <c r="AC34" s="229"/>
      <c r="AD34" s="461"/>
      <c r="AE34" s="462"/>
      <c r="AF34" s="229"/>
      <c r="AG34" s="229"/>
      <c r="AH34" s="229"/>
      <c r="AI34" s="789"/>
    </row>
    <row r="35" spans="1:35" s="39" customFormat="1" ht="24" customHeight="1">
      <c r="A35" s="38"/>
      <c r="B35" s="38"/>
      <c r="C35" s="102"/>
      <c r="D35" s="65" t="s">
        <v>2482</v>
      </c>
      <c r="E35" s="99"/>
      <c r="F35" s="274">
        <v>1</v>
      </c>
      <c r="G35" s="115" t="s">
        <v>7</v>
      </c>
      <c r="H35" s="133"/>
      <c r="I35" s="101">
        <f t="shared" si="0"/>
        <v>0</v>
      </c>
      <c r="J35" s="65"/>
      <c r="K35" s="65"/>
      <c r="L35" s="66"/>
      <c r="O35" s="227"/>
      <c r="P35" s="228"/>
      <c r="Q35" s="229"/>
      <c r="R35" s="229"/>
      <c r="S35" s="229"/>
      <c r="T35" s="229"/>
      <c r="U35" s="229"/>
      <c r="V35" s="229"/>
      <c r="W35" s="229"/>
      <c r="X35" s="230"/>
      <c r="Y35" s="230"/>
      <c r="Z35" s="230"/>
      <c r="AA35" s="230"/>
      <c r="AB35" s="230"/>
      <c r="AC35" s="229"/>
      <c r="AD35" s="461"/>
      <c r="AE35" s="462"/>
      <c r="AF35" s="229"/>
      <c r="AG35" s="229"/>
      <c r="AH35" s="229"/>
      <c r="AI35" s="789"/>
    </row>
    <row r="36" spans="1:35" s="39" customFormat="1" ht="24" customHeight="1">
      <c r="A36" s="38"/>
      <c r="B36" s="38"/>
      <c r="C36" s="102"/>
      <c r="D36" s="65" t="s">
        <v>2483</v>
      </c>
      <c r="E36" s="99"/>
      <c r="F36" s="274">
        <v>1</v>
      </c>
      <c r="G36" s="115" t="s">
        <v>7</v>
      </c>
      <c r="H36" s="133"/>
      <c r="I36" s="101">
        <f t="shared" si="0"/>
        <v>0</v>
      </c>
      <c r="J36" s="65"/>
      <c r="K36" s="65"/>
      <c r="L36" s="66"/>
      <c r="O36" s="227"/>
      <c r="P36" s="228"/>
      <c r="Q36" s="229"/>
      <c r="R36" s="229"/>
      <c r="S36" s="229"/>
      <c r="T36" s="229"/>
      <c r="U36" s="229"/>
      <c r="V36" s="229"/>
      <c r="W36" s="229"/>
      <c r="X36" s="230"/>
      <c r="Y36" s="230"/>
      <c r="Z36" s="230"/>
      <c r="AA36" s="230"/>
      <c r="AB36" s="230"/>
      <c r="AC36" s="229"/>
      <c r="AD36" s="461"/>
      <c r="AE36" s="462"/>
      <c r="AF36" s="229"/>
      <c r="AG36" s="229"/>
      <c r="AH36" s="229"/>
      <c r="AI36" s="789"/>
    </row>
    <row r="37" spans="1:35" s="39" customFormat="1" ht="24" customHeight="1">
      <c r="A37" s="38"/>
      <c r="B37" s="38"/>
      <c r="C37" s="102"/>
      <c r="D37" s="65" t="s">
        <v>2484</v>
      </c>
      <c r="E37" s="99"/>
      <c r="F37" s="274">
        <v>1</v>
      </c>
      <c r="G37" s="115" t="s">
        <v>7</v>
      </c>
      <c r="H37" s="133"/>
      <c r="I37" s="101">
        <f t="shared" si="0"/>
        <v>0</v>
      </c>
      <c r="J37" s="65"/>
      <c r="K37" s="65"/>
      <c r="L37" s="66"/>
      <c r="O37" s="227"/>
      <c r="P37" s="228"/>
      <c r="Q37" s="229"/>
      <c r="R37" s="229"/>
      <c r="S37" s="229"/>
      <c r="T37" s="229"/>
      <c r="U37" s="229"/>
      <c r="V37" s="229"/>
      <c r="W37" s="229"/>
      <c r="X37" s="230"/>
      <c r="Y37" s="230"/>
      <c r="Z37" s="230"/>
      <c r="AA37" s="230"/>
      <c r="AB37" s="230"/>
      <c r="AC37" s="229"/>
      <c r="AD37" s="461"/>
      <c r="AE37" s="462"/>
      <c r="AF37" s="229"/>
      <c r="AG37" s="229"/>
      <c r="AH37" s="229"/>
      <c r="AI37" s="789"/>
    </row>
    <row r="38" spans="1:35" s="39" customFormat="1" ht="24" customHeight="1">
      <c r="A38" s="38"/>
      <c r="B38" s="38"/>
      <c r="C38" s="102"/>
      <c r="D38" s="65" t="s">
        <v>2485</v>
      </c>
      <c r="E38" s="99"/>
      <c r="F38" s="274">
        <v>1</v>
      </c>
      <c r="G38" s="115" t="s">
        <v>7</v>
      </c>
      <c r="H38" s="133"/>
      <c r="I38" s="101">
        <f t="shared" si="0"/>
        <v>0</v>
      </c>
      <c r="J38" s="65"/>
      <c r="K38" s="65"/>
      <c r="L38" s="66"/>
      <c r="O38" s="227"/>
      <c r="P38" s="228"/>
      <c r="Q38" s="229"/>
      <c r="R38" s="229"/>
      <c r="S38" s="229"/>
      <c r="T38" s="229"/>
      <c r="U38" s="229"/>
      <c r="V38" s="229"/>
      <c r="W38" s="229"/>
      <c r="X38" s="230"/>
      <c r="Y38" s="230"/>
      <c r="Z38" s="230"/>
      <c r="AA38" s="230"/>
      <c r="AB38" s="230"/>
      <c r="AC38" s="229"/>
      <c r="AD38" s="461"/>
      <c r="AE38" s="462"/>
      <c r="AF38" s="229"/>
      <c r="AG38" s="229"/>
      <c r="AH38" s="229"/>
      <c r="AI38" s="789"/>
    </row>
    <row r="39" spans="1:35" s="39" customFormat="1" ht="24" customHeight="1">
      <c r="A39" s="38"/>
      <c r="B39" s="38"/>
      <c r="C39" s="102"/>
      <c r="D39" s="65" t="s">
        <v>2486</v>
      </c>
      <c r="E39" s="99"/>
      <c r="F39" s="274">
        <v>1</v>
      </c>
      <c r="G39" s="115" t="s">
        <v>7</v>
      </c>
      <c r="H39" s="133"/>
      <c r="I39" s="101">
        <f t="shared" si="0"/>
        <v>0</v>
      </c>
      <c r="J39" s="65"/>
      <c r="K39" s="65"/>
      <c r="L39" s="66"/>
      <c r="O39" s="227"/>
      <c r="P39" s="228"/>
      <c r="Q39" s="229"/>
      <c r="R39" s="229"/>
      <c r="S39" s="229"/>
      <c r="T39" s="229"/>
      <c r="U39" s="229"/>
      <c r="V39" s="229"/>
      <c r="W39" s="229"/>
      <c r="X39" s="230"/>
      <c r="Y39" s="230"/>
      <c r="Z39" s="230"/>
      <c r="AA39" s="230"/>
      <c r="AB39" s="230"/>
      <c r="AC39" s="229"/>
      <c r="AD39" s="461"/>
      <c r="AE39" s="462"/>
      <c r="AF39" s="229"/>
      <c r="AG39" s="229"/>
      <c r="AH39" s="229"/>
      <c r="AI39" s="789"/>
    </row>
    <row r="40" spans="1:35" s="39" customFormat="1" ht="24" customHeight="1">
      <c r="A40" s="38"/>
      <c r="B40" s="38"/>
      <c r="C40" s="102"/>
      <c r="D40" s="65" t="s">
        <v>2487</v>
      </c>
      <c r="E40" s="99"/>
      <c r="F40" s="274">
        <v>1</v>
      </c>
      <c r="G40" s="115" t="s">
        <v>7</v>
      </c>
      <c r="H40" s="133"/>
      <c r="I40" s="101">
        <f t="shared" si="0"/>
        <v>0</v>
      </c>
      <c r="J40" s="65"/>
      <c r="K40" s="65"/>
      <c r="L40" s="66"/>
      <c r="O40" s="227"/>
      <c r="P40" s="228"/>
      <c r="Q40" s="229"/>
      <c r="R40" s="229"/>
      <c r="S40" s="229"/>
      <c r="T40" s="229"/>
      <c r="U40" s="229"/>
      <c r="V40" s="229"/>
      <c r="W40" s="229"/>
      <c r="X40" s="230"/>
      <c r="Y40" s="230"/>
      <c r="Z40" s="230"/>
      <c r="AA40" s="230"/>
      <c r="AB40" s="230"/>
      <c r="AC40" s="229"/>
      <c r="AD40" s="461"/>
      <c r="AE40" s="462"/>
      <c r="AF40" s="229"/>
      <c r="AG40" s="229"/>
      <c r="AH40" s="229"/>
      <c r="AI40" s="789"/>
    </row>
    <row r="41" spans="1:35" s="39" customFormat="1" ht="24" customHeight="1">
      <c r="A41" s="38"/>
      <c r="B41" s="38"/>
      <c r="C41" s="102"/>
      <c r="D41" s="65" t="s">
        <v>2488</v>
      </c>
      <c r="E41" s="99"/>
      <c r="F41" s="274">
        <v>1</v>
      </c>
      <c r="G41" s="115" t="s">
        <v>7</v>
      </c>
      <c r="H41" s="133"/>
      <c r="I41" s="101">
        <f t="shared" si="0"/>
        <v>0</v>
      </c>
      <c r="J41" s="65"/>
      <c r="K41" s="65"/>
      <c r="L41" s="66"/>
      <c r="O41" s="227"/>
      <c r="P41" s="228"/>
      <c r="Q41" s="229"/>
      <c r="R41" s="229"/>
      <c r="S41" s="229"/>
      <c r="T41" s="229"/>
      <c r="U41" s="229"/>
      <c r="V41" s="229"/>
      <c r="W41" s="229"/>
      <c r="X41" s="230"/>
      <c r="Y41" s="230"/>
      <c r="Z41" s="230"/>
      <c r="AA41" s="230"/>
      <c r="AB41" s="230"/>
      <c r="AC41" s="229"/>
      <c r="AD41" s="461"/>
      <c r="AE41" s="462"/>
      <c r="AF41" s="229"/>
      <c r="AG41" s="229"/>
      <c r="AH41" s="229"/>
      <c r="AI41" s="789"/>
    </row>
    <row r="42" spans="1:35" s="39" customFormat="1" ht="24" customHeight="1">
      <c r="A42" s="38"/>
      <c r="B42" s="38"/>
      <c r="C42" s="102"/>
      <c r="D42" s="65" t="s">
        <v>2489</v>
      </c>
      <c r="E42" s="99"/>
      <c r="F42" s="274">
        <v>1</v>
      </c>
      <c r="G42" s="115" t="s">
        <v>7</v>
      </c>
      <c r="H42" s="133"/>
      <c r="I42" s="101">
        <f t="shared" si="0"/>
        <v>0</v>
      </c>
      <c r="J42" s="65"/>
      <c r="K42" s="65"/>
      <c r="L42" s="66"/>
      <c r="O42" s="227"/>
      <c r="P42" s="228"/>
      <c r="Q42" s="229"/>
      <c r="R42" s="229"/>
      <c r="S42" s="229"/>
      <c r="T42" s="229"/>
      <c r="U42" s="229"/>
      <c r="V42" s="229"/>
      <c r="W42" s="229"/>
      <c r="X42" s="230"/>
      <c r="Y42" s="230"/>
      <c r="Z42" s="230"/>
      <c r="AA42" s="230"/>
      <c r="AB42" s="230"/>
      <c r="AC42" s="229"/>
      <c r="AD42" s="461"/>
      <c r="AE42" s="462"/>
      <c r="AF42" s="229"/>
      <c r="AG42" s="229"/>
      <c r="AH42" s="229"/>
      <c r="AI42" s="789"/>
    </row>
    <row r="43" spans="1:35" s="39" customFormat="1" ht="24" customHeight="1">
      <c r="A43" s="38"/>
      <c r="B43" s="38"/>
      <c r="C43" s="102"/>
      <c r="D43" s="65" t="s">
        <v>2490</v>
      </c>
      <c r="E43" s="99"/>
      <c r="F43" s="274">
        <v>1</v>
      </c>
      <c r="G43" s="115" t="s">
        <v>7</v>
      </c>
      <c r="H43" s="133"/>
      <c r="I43" s="101">
        <f t="shared" si="0"/>
        <v>0</v>
      </c>
      <c r="J43" s="65"/>
      <c r="K43" s="65"/>
      <c r="L43" s="66"/>
      <c r="O43" s="227"/>
      <c r="P43" s="228"/>
      <c r="Q43" s="229"/>
      <c r="R43" s="229"/>
      <c r="S43" s="229"/>
      <c r="T43" s="229"/>
      <c r="U43" s="229"/>
      <c r="V43" s="229"/>
      <c r="W43" s="229"/>
      <c r="X43" s="230"/>
      <c r="Y43" s="230"/>
      <c r="Z43" s="230"/>
      <c r="AA43" s="230"/>
      <c r="AB43" s="230"/>
      <c r="AC43" s="229"/>
      <c r="AD43" s="461"/>
      <c r="AE43" s="462"/>
      <c r="AF43" s="229"/>
      <c r="AG43" s="229"/>
      <c r="AH43" s="229"/>
      <c r="AI43" s="789"/>
    </row>
    <row r="44" spans="1:35" s="39" customFormat="1" ht="24" customHeight="1">
      <c r="A44" s="38"/>
      <c r="B44" s="38"/>
      <c r="C44" s="102"/>
      <c r="D44" s="65"/>
      <c r="E44" s="99"/>
      <c r="F44" s="274"/>
      <c r="G44" s="115"/>
      <c r="H44" s="133"/>
      <c r="I44" s="101" t="str">
        <f t="shared" si="0"/>
        <v/>
      </c>
      <c r="J44" s="65"/>
      <c r="K44" s="65"/>
      <c r="L44" s="66"/>
      <c r="O44" s="227"/>
      <c r="P44" s="228"/>
      <c r="Q44" s="229"/>
      <c r="R44" s="229"/>
      <c r="S44" s="229"/>
      <c r="T44" s="229"/>
      <c r="U44" s="229"/>
      <c r="V44" s="229"/>
      <c r="W44" s="229"/>
      <c r="X44" s="230"/>
      <c r="Y44" s="230"/>
      <c r="Z44" s="230"/>
      <c r="AA44" s="230"/>
      <c r="AB44" s="230"/>
      <c r="AC44" s="229"/>
      <c r="AD44" s="461"/>
      <c r="AE44" s="462"/>
      <c r="AF44" s="229"/>
      <c r="AG44" s="229"/>
      <c r="AH44" s="229"/>
      <c r="AI44" s="789"/>
    </row>
    <row r="45" spans="1:35" s="39" customFormat="1" ht="24" customHeight="1">
      <c r="A45" s="38"/>
      <c r="B45" s="38"/>
      <c r="C45" s="805"/>
      <c r="D45" s="793" t="s">
        <v>2491</v>
      </c>
      <c r="E45" s="794"/>
      <c r="F45" s="795"/>
      <c r="G45" s="796"/>
      <c r="H45" s="797"/>
      <c r="I45" s="798">
        <f>SUM(I35:I44)</f>
        <v>0</v>
      </c>
      <c r="J45" s="793"/>
      <c r="K45" s="793"/>
      <c r="L45" s="799"/>
      <c r="O45" s="227"/>
      <c r="P45" s="228"/>
      <c r="Q45" s="229"/>
      <c r="R45" s="229"/>
      <c r="S45" s="229"/>
      <c r="T45" s="229"/>
      <c r="U45" s="229"/>
      <c r="V45" s="229"/>
      <c r="W45" s="229"/>
      <c r="X45" s="230"/>
      <c r="Y45" s="230"/>
      <c r="Z45" s="230"/>
      <c r="AA45" s="230"/>
      <c r="AB45" s="230"/>
      <c r="AC45" s="229"/>
      <c r="AD45" s="461"/>
      <c r="AE45" s="462"/>
      <c r="AF45" s="229"/>
      <c r="AG45" s="229"/>
      <c r="AH45" s="229"/>
      <c r="AI45" s="789"/>
    </row>
    <row r="46" spans="1:35" s="39" customFormat="1" ht="24" customHeight="1">
      <c r="A46" s="38"/>
      <c r="B46" s="38"/>
      <c r="C46" s="800"/>
      <c r="D46" s="96"/>
      <c r="E46" s="97"/>
      <c r="F46" s="801"/>
      <c r="G46" s="132"/>
      <c r="H46" s="802"/>
      <c r="I46" s="803" t="str">
        <f t="shared" si="0"/>
        <v/>
      </c>
      <c r="J46" s="96"/>
      <c r="K46" s="96"/>
      <c r="L46" s="804"/>
      <c r="O46" s="227"/>
      <c r="P46" s="228"/>
      <c r="Q46" s="229"/>
      <c r="R46" s="229"/>
      <c r="S46" s="229"/>
      <c r="T46" s="229"/>
      <c r="U46" s="229"/>
      <c r="V46" s="229"/>
      <c r="W46" s="229"/>
      <c r="X46" s="230"/>
      <c r="Y46" s="230"/>
      <c r="Z46" s="230"/>
      <c r="AA46" s="230"/>
      <c r="AB46" s="230"/>
      <c r="AC46" s="229"/>
      <c r="AD46" s="461"/>
      <c r="AE46" s="462"/>
      <c r="AF46" s="229"/>
      <c r="AG46" s="229"/>
      <c r="AH46" s="229"/>
      <c r="AI46" s="789"/>
    </row>
    <row r="47" spans="1:35" ht="24" customHeight="1" thickBot="1">
      <c r="A47" s="38"/>
      <c r="B47" s="38"/>
      <c r="C47" s="103"/>
      <c r="D47" s="92" t="s">
        <v>8</v>
      </c>
      <c r="E47" s="104"/>
      <c r="F47" s="275"/>
      <c r="G47" s="118"/>
      <c r="H47" s="127" t="s">
        <v>70</v>
      </c>
      <c r="I47" s="105">
        <f>I32+I45</f>
        <v>0</v>
      </c>
      <c r="J47" s="828" t="str">
        <f>IF(C28="部分撤去工事","）うち費用",")")</f>
        <v>)</v>
      </c>
      <c r="K47" s="827">
        <f>IF(C28="部分撤去工事",(K24+L47),0)</f>
        <v>0</v>
      </c>
      <c r="L47" s="826">
        <f>IF(C28="部分撤去工事",SUMIF(N29:N46,"費用",I29:I46),0)</f>
        <v>0</v>
      </c>
      <c r="M47" s="823"/>
      <c r="O47" s="227"/>
      <c r="P47" s="228"/>
      <c r="Q47" s="229"/>
      <c r="R47" s="229"/>
      <c r="S47" s="229"/>
      <c r="T47" s="229"/>
      <c r="U47" s="229"/>
      <c r="V47" s="229"/>
      <c r="W47" s="229"/>
      <c r="X47" s="230"/>
      <c r="Y47" s="230"/>
      <c r="Z47" s="230"/>
      <c r="AA47" s="230"/>
      <c r="AB47" s="230"/>
      <c r="AC47" s="229"/>
      <c r="AD47" s="461"/>
      <c r="AE47" s="462"/>
      <c r="AF47" s="229"/>
      <c r="AG47" s="229"/>
      <c r="AH47" s="229"/>
      <c r="AI47" s="789"/>
    </row>
    <row r="48" spans="1:35" ht="14.25" customHeight="1">
      <c r="E48" s="120" t="s">
        <v>86</v>
      </c>
      <c r="F48" s="121">
        <f>+F25+1</f>
        <v>2</v>
      </c>
      <c r="G48" s="122" t="s">
        <v>87</v>
      </c>
      <c r="H48" s="123">
        <f>+$H$25</f>
        <v>11</v>
      </c>
      <c r="I48" s="123"/>
      <c r="M48" s="822" t="str">
        <f>IF(A50="","EOL","")</f>
        <v/>
      </c>
      <c r="N48" s="1">
        <f>+F48</f>
        <v>2</v>
      </c>
      <c r="O48" s="1"/>
      <c r="P48" s="1"/>
    </row>
    <row r="49" spans="1:33" ht="26" customHeight="1" thickBot="1">
      <c r="C49" s="2741" t="s">
        <v>319</v>
      </c>
      <c r="D49" s="2741"/>
      <c r="E49" s="2741"/>
      <c r="F49" s="2741"/>
      <c r="G49" s="2741"/>
      <c r="H49" s="2741"/>
      <c r="I49" s="2741"/>
      <c r="J49" s="2741"/>
      <c r="K49" s="2741"/>
      <c r="L49" s="2741"/>
      <c r="O49" s="2735" t="s">
        <v>132</v>
      </c>
      <c r="P49" s="2736"/>
      <c r="Q49" s="2736"/>
      <c r="R49" s="2736"/>
      <c r="S49" s="2736"/>
      <c r="T49" s="2736"/>
      <c r="U49" s="2736"/>
      <c r="V49" s="2736"/>
      <c r="W49" s="2736"/>
      <c r="X49" s="2736"/>
      <c r="Y49" s="2736"/>
      <c r="Z49" s="2736"/>
      <c r="AA49" s="2736"/>
      <c r="AB49" s="2736"/>
      <c r="AC49" s="2736"/>
      <c r="AD49" s="2736"/>
      <c r="AE49" s="2736"/>
      <c r="AF49" s="2736"/>
      <c r="AG49" s="2737"/>
    </row>
    <row r="50" spans="1:33" ht="42" customHeight="1">
      <c r="A50" s="5" t="s">
        <v>12</v>
      </c>
      <c r="B50" s="5" t="s">
        <v>9</v>
      </c>
      <c r="C50" s="110" t="s">
        <v>0</v>
      </c>
      <c r="D50" s="106"/>
      <c r="E50" s="107" t="s">
        <v>1</v>
      </c>
      <c r="F50" s="108" t="s">
        <v>2</v>
      </c>
      <c r="G50" s="108" t="s">
        <v>3</v>
      </c>
      <c r="H50" s="109" t="s">
        <v>4</v>
      </c>
      <c r="I50" s="109" t="s">
        <v>5</v>
      </c>
      <c r="J50" s="2742" t="s">
        <v>6</v>
      </c>
      <c r="K50" s="2743"/>
      <c r="L50" s="2744"/>
      <c r="M50" s="521"/>
      <c r="N50" s="522" t="s">
        <v>379</v>
      </c>
      <c r="O50" s="154" t="s">
        <v>67</v>
      </c>
      <c r="P50" s="385" t="s">
        <v>264</v>
      </c>
      <c r="Q50" s="153" t="s">
        <v>210</v>
      </c>
      <c r="R50" s="276" t="s">
        <v>212</v>
      </c>
      <c r="S50" s="276" t="s">
        <v>213</v>
      </c>
      <c r="T50" s="276" t="s">
        <v>265</v>
      </c>
      <c r="U50" s="276" t="s">
        <v>126</v>
      </c>
      <c r="V50" s="153" t="s">
        <v>125</v>
      </c>
      <c r="W50" s="276" t="s">
        <v>266</v>
      </c>
      <c r="X50" s="220" t="s">
        <v>214</v>
      </c>
      <c r="Y50" s="220" t="s">
        <v>215</v>
      </c>
      <c r="Z50" s="220" t="s">
        <v>216</v>
      </c>
      <c r="AA50" s="220" t="s">
        <v>217</v>
      </c>
      <c r="AB50" s="158" t="s">
        <v>267</v>
      </c>
      <c r="AC50" s="155" t="s">
        <v>128</v>
      </c>
      <c r="AD50" s="152" t="s">
        <v>131</v>
      </c>
      <c r="AE50" s="152" t="s">
        <v>129</v>
      </c>
      <c r="AF50" s="152" t="s">
        <v>130</v>
      </c>
      <c r="AG50" s="152"/>
    </row>
    <row r="51" spans="1:33" ht="24" customHeight="1">
      <c r="A51" s="38"/>
      <c r="B51" s="38"/>
      <c r="C51" s="128" t="s">
        <v>235</v>
      </c>
      <c r="D51" s="96"/>
      <c r="E51" s="97"/>
      <c r="F51" s="273"/>
      <c r="G51" s="132"/>
      <c r="H51" s="91" t="s">
        <v>11</v>
      </c>
      <c r="I51" s="91" t="s">
        <v>11</v>
      </c>
      <c r="J51" s="2738"/>
      <c r="K51" s="2739"/>
      <c r="L51" s="2740"/>
      <c r="M51" s="523"/>
      <c r="N51" s="524"/>
      <c r="O51" s="227"/>
      <c r="P51" s="228"/>
      <c r="Q51" s="229"/>
      <c r="R51" s="229"/>
      <c r="S51" s="229"/>
      <c r="T51" s="229"/>
      <c r="U51" s="229"/>
      <c r="V51" s="229"/>
      <c r="W51" s="229"/>
      <c r="X51" s="230"/>
      <c r="Y51" s="230"/>
      <c r="Z51" s="230"/>
      <c r="AA51" s="230"/>
      <c r="AB51" s="232"/>
      <c r="AC51" s="231"/>
      <c r="AD51" s="229"/>
      <c r="AE51" s="229"/>
      <c r="AF51" s="229"/>
      <c r="AG51" s="229"/>
    </row>
    <row r="52" spans="1:33" s="39" customFormat="1" ht="24" customHeight="1">
      <c r="A52" s="38"/>
      <c r="B52" s="38"/>
      <c r="C52" s="102"/>
      <c r="D52" s="65"/>
      <c r="E52" s="99"/>
      <c r="F52" s="274"/>
      <c r="G52" s="115"/>
      <c r="H52" s="133"/>
      <c r="I52" s="101" t="str">
        <f>IF(F52="","",INT(F52*H52))</f>
        <v/>
      </c>
      <c r="J52" s="65"/>
      <c r="K52" s="65"/>
      <c r="L52" s="66"/>
      <c r="M52" s="525"/>
      <c r="N52" s="520"/>
      <c r="O52" s="227"/>
      <c r="P52" s="228"/>
      <c r="Q52" s="229"/>
      <c r="R52" s="229"/>
      <c r="S52" s="229"/>
      <c r="T52" s="229"/>
      <c r="U52" s="229"/>
      <c r="V52" s="229"/>
      <c r="W52" s="229"/>
      <c r="X52" s="230"/>
      <c r="Y52" s="230"/>
      <c r="Z52" s="230"/>
      <c r="AA52" s="230"/>
      <c r="AB52" s="232"/>
      <c r="AC52" s="231"/>
      <c r="AD52" s="229"/>
      <c r="AE52" s="229"/>
      <c r="AF52" s="229"/>
      <c r="AG52" s="229"/>
    </row>
    <row r="53" spans="1:33" s="39" customFormat="1" ht="24" customHeight="1">
      <c r="A53" s="38"/>
      <c r="B53" s="38"/>
      <c r="C53" s="102"/>
      <c r="D53" s="65"/>
      <c r="E53" s="99"/>
      <c r="F53" s="274"/>
      <c r="G53" s="115"/>
      <c r="H53" s="133"/>
      <c r="I53" s="101" t="str">
        <f t="shared" ref="I53:I69" si="1">IF(F53="","",INT(F53*H53))</f>
        <v/>
      </c>
      <c r="J53" s="65"/>
      <c r="K53" s="65"/>
      <c r="L53" s="66"/>
      <c r="M53" s="525"/>
      <c r="N53" s="520"/>
      <c r="O53" s="227"/>
      <c r="P53" s="228"/>
      <c r="Q53" s="229"/>
      <c r="R53" s="229"/>
      <c r="S53" s="229"/>
      <c r="T53" s="229"/>
      <c r="U53" s="229"/>
      <c r="V53" s="229"/>
      <c r="W53" s="229"/>
      <c r="X53" s="230"/>
      <c r="Y53" s="230"/>
      <c r="Z53" s="230"/>
      <c r="AA53" s="230"/>
      <c r="AB53" s="232"/>
      <c r="AC53" s="231"/>
      <c r="AD53" s="229"/>
      <c r="AE53" s="229"/>
      <c r="AF53" s="229"/>
      <c r="AG53" s="229"/>
    </row>
    <row r="54" spans="1:33" s="39" customFormat="1" ht="24" customHeight="1">
      <c r="A54" s="38"/>
      <c r="B54" s="38"/>
      <c r="C54" s="102"/>
      <c r="D54" s="65"/>
      <c r="E54" s="99"/>
      <c r="F54" s="274"/>
      <c r="G54" s="115"/>
      <c r="H54" s="133"/>
      <c r="I54" s="101" t="str">
        <f t="shared" si="1"/>
        <v/>
      </c>
      <c r="J54" s="65"/>
      <c r="K54" s="65"/>
      <c r="L54" s="66"/>
      <c r="M54" s="525"/>
      <c r="N54" s="520"/>
      <c r="O54" s="227"/>
      <c r="P54" s="228"/>
      <c r="Q54" s="229"/>
      <c r="R54" s="229"/>
      <c r="S54" s="229"/>
      <c r="T54" s="229"/>
      <c r="U54" s="229"/>
      <c r="V54" s="229"/>
      <c r="W54" s="229"/>
      <c r="X54" s="230"/>
      <c r="Y54" s="230"/>
      <c r="Z54" s="230"/>
      <c r="AA54" s="230"/>
      <c r="AB54" s="232"/>
      <c r="AC54" s="231"/>
      <c r="AD54" s="229"/>
      <c r="AE54" s="229"/>
      <c r="AF54" s="229"/>
      <c r="AG54" s="229"/>
    </row>
    <row r="55" spans="1:33" s="39" customFormat="1" ht="24" customHeight="1">
      <c r="A55" s="38"/>
      <c r="B55" s="38"/>
      <c r="C55" s="134"/>
      <c r="D55" s="65"/>
      <c r="E55" s="99"/>
      <c r="F55" s="274"/>
      <c r="G55" s="115"/>
      <c r="H55" s="133"/>
      <c r="I55" s="101" t="str">
        <f t="shared" si="1"/>
        <v/>
      </c>
      <c r="J55" s="65"/>
      <c r="K55" s="65"/>
      <c r="L55" s="66"/>
      <c r="M55" s="525"/>
      <c r="N55" s="520"/>
      <c r="O55" s="227"/>
      <c r="P55" s="228"/>
      <c r="Q55" s="229"/>
      <c r="R55" s="229"/>
      <c r="S55" s="229"/>
      <c r="T55" s="229"/>
      <c r="U55" s="229"/>
      <c r="V55" s="229"/>
      <c r="W55" s="229"/>
      <c r="X55" s="230"/>
      <c r="Y55" s="230"/>
      <c r="Z55" s="230"/>
      <c r="AA55" s="230"/>
      <c r="AB55" s="232"/>
      <c r="AC55" s="231"/>
      <c r="AD55" s="229"/>
      <c r="AE55" s="229"/>
      <c r="AF55" s="229"/>
      <c r="AG55" s="229"/>
    </row>
    <row r="56" spans="1:33" s="39" customFormat="1" ht="24" customHeight="1">
      <c r="A56" s="38"/>
      <c r="B56" s="38"/>
      <c r="C56" s="102"/>
      <c r="D56" s="65"/>
      <c r="E56" s="99"/>
      <c r="F56" s="274"/>
      <c r="G56" s="115"/>
      <c r="H56" s="133"/>
      <c r="I56" s="101" t="str">
        <f t="shared" si="1"/>
        <v/>
      </c>
      <c r="J56" s="65"/>
      <c r="K56" s="65"/>
      <c r="L56" s="66"/>
      <c r="M56" s="525"/>
      <c r="N56" s="520"/>
      <c r="O56" s="227"/>
      <c r="P56" s="228"/>
      <c r="Q56" s="229"/>
      <c r="R56" s="229"/>
      <c r="S56" s="229"/>
      <c r="T56" s="229"/>
      <c r="U56" s="229"/>
      <c r="V56" s="229"/>
      <c r="W56" s="229"/>
      <c r="X56" s="230"/>
      <c r="Y56" s="230"/>
      <c r="Z56" s="230"/>
      <c r="AA56" s="230"/>
      <c r="AB56" s="232"/>
      <c r="AC56" s="231"/>
      <c r="AD56" s="229"/>
      <c r="AE56" s="229"/>
      <c r="AF56" s="229"/>
      <c r="AG56" s="229"/>
    </row>
    <row r="57" spans="1:33" s="39" customFormat="1" ht="24" customHeight="1">
      <c r="A57" s="38"/>
      <c r="B57" s="38"/>
      <c r="C57" s="102"/>
      <c r="D57" s="65"/>
      <c r="E57" s="99"/>
      <c r="F57" s="274"/>
      <c r="G57" s="115"/>
      <c r="H57" s="133"/>
      <c r="I57" s="101" t="str">
        <f t="shared" si="1"/>
        <v/>
      </c>
      <c r="J57" s="65"/>
      <c r="K57" s="65"/>
      <c r="L57" s="66"/>
      <c r="M57" s="525"/>
      <c r="N57" s="520"/>
      <c r="O57" s="227"/>
      <c r="P57" s="228"/>
      <c r="Q57" s="229"/>
      <c r="R57" s="229"/>
      <c r="S57" s="229"/>
      <c r="T57" s="229"/>
      <c r="U57" s="229"/>
      <c r="V57" s="229"/>
      <c r="W57" s="229"/>
      <c r="X57" s="230"/>
      <c r="Y57" s="230"/>
      <c r="Z57" s="230"/>
      <c r="AA57" s="230"/>
      <c r="AB57" s="232"/>
      <c r="AC57" s="231"/>
      <c r="AD57" s="229"/>
      <c r="AE57" s="229"/>
      <c r="AF57" s="229"/>
      <c r="AG57" s="229"/>
    </row>
    <row r="58" spans="1:33" s="39" customFormat="1" ht="24" customHeight="1">
      <c r="A58" s="38"/>
      <c r="B58" s="38"/>
      <c r="C58" s="102"/>
      <c r="D58" s="65"/>
      <c r="E58" s="99"/>
      <c r="F58" s="274"/>
      <c r="G58" s="115"/>
      <c r="H58" s="133"/>
      <c r="I58" s="101" t="str">
        <f t="shared" si="1"/>
        <v/>
      </c>
      <c r="J58" s="65"/>
      <c r="K58" s="65"/>
      <c r="L58" s="66"/>
      <c r="M58" s="525"/>
      <c r="N58" s="520"/>
      <c r="O58" s="227"/>
      <c r="P58" s="228"/>
      <c r="Q58" s="229"/>
      <c r="R58" s="229"/>
      <c r="S58" s="229"/>
      <c r="T58" s="229"/>
      <c r="U58" s="229"/>
      <c r="V58" s="229"/>
      <c r="W58" s="229"/>
      <c r="X58" s="230"/>
      <c r="Y58" s="230"/>
      <c r="Z58" s="230"/>
      <c r="AA58" s="230"/>
      <c r="AB58" s="232"/>
      <c r="AC58" s="231"/>
      <c r="AD58" s="229"/>
      <c r="AE58" s="229"/>
      <c r="AF58" s="229"/>
      <c r="AG58" s="229"/>
    </row>
    <row r="59" spans="1:33" s="39" customFormat="1" ht="24" customHeight="1">
      <c r="A59" s="38"/>
      <c r="B59" s="38"/>
      <c r="C59" s="102"/>
      <c r="D59" s="65"/>
      <c r="E59" s="99"/>
      <c r="F59" s="274"/>
      <c r="G59" s="115"/>
      <c r="H59" s="133"/>
      <c r="I59" s="101" t="str">
        <f t="shared" si="1"/>
        <v/>
      </c>
      <c r="J59" s="65"/>
      <c r="K59" s="65"/>
      <c r="L59" s="66"/>
      <c r="M59" s="525"/>
      <c r="N59" s="520"/>
      <c r="O59" s="227"/>
      <c r="P59" s="228"/>
      <c r="Q59" s="229"/>
      <c r="R59" s="229"/>
      <c r="S59" s="229"/>
      <c r="T59" s="229"/>
      <c r="U59" s="229"/>
      <c r="V59" s="229"/>
      <c r="W59" s="229"/>
      <c r="X59" s="230"/>
      <c r="Y59" s="230"/>
      <c r="Z59" s="230"/>
      <c r="AA59" s="230"/>
      <c r="AB59" s="232"/>
      <c r="AC59" s="231"/>
      <c r="AD59" s="229"/>
      <c r="AE59" s="229"/>
      <c r="AF59" s="229"/>
      <c r="AG59" s="229"/>
    </row>
    <row r="60" spans="1:33" s="39" customFormat="1" ht="24" customHeight="1">
      <c r="A60" s="38"/>
      <c r="B60" s="38"/>
      <c r="C60" s="102"/>
      <c r="D60" s="65"/>
      <c r="E60" s="99"/>
      <c r="F60" s="274"/>
      <c r="G60" s="115"/>
      <c r="H60" s="133"/>
      <c r="I60" s="101" t="str">
        <f t="shared" si="1"/>
        <v/>
      </c>
      <c r="J60" s="65"/>
      <c r="K60" s="65"/>
      <c r="L60" s="66"/>
      <c r="M60" s="525"/>
      <c r="N60" s="520"/>
      <c r="O60" s="227"/>
      <c r="P60" s="228"/>
      <c r="Q60" s="229"/>
      <c r="R60" s="229"/>
      <c r="S60" s="229"/>
      <c r="T60" s="229"/>
      <c r="U60" s="229"/>
      <c r="V60" s="229"/>
      <c r="W60" s="229"/>
      <c r="X60" s="230"/>
      <c r="Y60" s="230"/>
      <c r="Z60" s="230"/>
      <c r="AA60" s="230"/>
      <c r="AB60" s="232"/>
      <c r="AC60" s="231"/>
      <c r="AD60" s="229"/>
      <c r="AE60" s="229"/>
      <c r="AF60" s="229"/>
      <c r="AG60" s="229"/>
    </row>
    <row r="61" spans="1:33" s="39" customFormat="1" ht="24" customHeight="1">
      <c r="A61" s="38"/>
      <c r="B61" s="38"/>
      <c r="C61" s="102"/>
      <c r="D61" s="65"/>
      <c r="E61" s="99"/>
      <c r="F61" s="274"/>
      <c r="G61" s="115"/>
      <c r="H61" s="133"/>
      <c r="I61" s="101" t="str">
        <f t="shared" si="1"/>
        <v/>
      </c>
      <c r="J61" s="65"/>
      <c r="K61" s="65"/>
      <c r="L61" s="66"/>
      <c r="M61" s="525"/>
      <c r="N61" s="520"/>
      <c r="O61" s="227"/>
      <c r="P61" s="228"/>
      <c r="Q61" s="229"/>
      <c r="R61" s="229"/>
      <c r="S61" s="229"/>
      <c r="T61" s="229"/>
      <c r="U61" s="229"/>
      <c r="V61" s="229"/>
      <c r="W61" s="229"/>
      <c r="X61" s="230"/>
      <c r="Y61" s="230"/>
      <c r="Z61" s="230"/>
      <c r="AA61" s="230"/>
      <c r="AB61" s="232"/>
      <c r="AC61" s="231"/>
      <c r="AD61" s="229"/>
      <c r="AE61" s="229"/>
      <c r="AF61" s="229"/>
      <c r="AG61" s="229"/>
    </row>
    <row r="62" spans="1:33" s="39" customFormat="1" ht="24" customHeight="1">
      <c r="A62" s="38"/>
      <c r="B62" s="38"/>
      <c r="C62" s="102"/>
      <c r="D62" s="65"/>
      <c r="E62" s="99"/>
      <c r="F62" s="274"/>
      <c r="G62" s="115"/>
      <c r="H62" s="133"/>
      <c r="I62" s="101" t="str">
        <f t="shared" si="1"/>
        <v/>
      </c>
      <c r="J62" s="65"/>
      <c r="K62" s="65"/>
      <c r="L62" s="66"/>
      <c r="M62" s="525"/>
      <c r="N62" s="520"/>
      <c r="O62" s="227"/>
      <c r="P62" s="228"/>
      <c r="Q62" s="229"/>
      <c r="R62" s="229"/>
      <c r="S62" s="229"/>
      <c r="T62" s="229"/>
      <c r="U62" s="229"/>
      <c r="V62" s="229"/>
      <c r="W62" s="229"/>
      <c r="X62" s="230"/>
      <c r="Y62" s="230"/>
      <c r="Z62" s="230"/>
      <c r="AA62" s="230"/>
      <c r="AB62" s="232"/>
      <c r="AC62" s="231"/>
      <c r="AD62" s="229"/>
      <c r="AE62" s="229"/>
      <c r="AF62" s="229"/>
      <c r="AG62" s="229"/>
    </row>
    <row r="63" spans="1:33" s="39" customFormat="1" ht="24" customHeight="1">
      <c r="A63" s="38"/>
      <c r="B63" s="38"/>
      <c r="C63" s="102"/>
      <c r="D63" s="65"/>
      <c r="E63" s="99"/>
      <c r="F63" s="274"/>
      <c r="G63" s="115"/>
      <c r="H63" s="133"/>
      <c r="I63" s="101" t="str">
        <f t="shared" si="1"/>
        <v/>
      </c>
      <c r="J63" s="65"/>
      <c r="K63" s="65"/>
      <c r="L63" s="66"/>
      <c r="M63" s="525"/>
      <c r="N63" s="520"/>
      <c r="O63" s="227"/>
      <c r="P63" s="228"/>
      <c r="Q63" s="229"/>
      <c r="R63" s="229"/>
      <c r="S63" s="229"/>
      <c r="T63" s="229"/>
      <c r="U63" s="229"/>
      <c r="V63" s="229"/>
      <c r="W63" s="229"/>
      <c r="X63" s="230"/>
      <c r="Y63" s="230"/>
      <c r="Z63" s="230"/>
      <c r="AA63" s="230"/>
      <c r="AB63" s="232"/>
      <c r="AC63" s="231"/>
      <c r="AD63" s="229"/>
      <c r="AE63" s="229"/>
      <c r="AF63" s="229"/>
      <c r="AG63" s="229"/>
    </row>
    <row r="64" spans="1:33" s="39" customFormat="1" ht="24" customHeight="1">
      <c r="A64" s="38"/>
      <c r="B64" s="38"/>
      <c r="C64" s="102"/>
      <c r="D64" s="65"/>
      <c r="E64" s="99"/>
      <c r="F64" s="274"/>
      <c r="G64" s="115"/>
      <c r="H64" s="133"/>
      <c r="I64" s="101" t="str">
        <f t="shared" si="1"/>
        <v/>
      </c>
      <c r="J64" s="65"/>
      <c r="K64" s="65"/>
      <c r="L64" s="66"/>
      <c r="M64" s="525"/>
      <c r="N64" s="520"/>
      <c r="O64" s="227"/>
      <c r="P64" s="228"/>
      <c r="Q64" s="229"/>
      <c r="R64" s="229"/>
      <c r="S64" s="229"/>
      <c r="T64" s="229"/>
      <c r="U64" s="229"/>
      <c r="V64" s="229"/>
      <c r="W64" s="229"/>
      <c r="X64" s="230"/>
      <c r="Y64" s="230"/>
      <c r="Z64" s="230"/>
      <c r="AA64" s="230"/>
      <c r="AB64" s="232"/>
      <c r="AC64" s="231"/>
      <c r="AD64" s="229"/>
      <c r="AE64" s="229"/>
      <c r="AF64" s="229"/>
      <c r="AG64" s="229"/>
    </row>
    <row r="65" spans="1:33" s="39" customFormat="1" ht="24" customHeight="1">
      <c r="A65" s="38"/>
      <c r="B65" s="38"/>
      <c r="C65" s="102"/>
      <c r="D65" s="65"/>
      <c r="E65" s="99"/>
      <c r="F65" s="274"/>
      <c r="G65" s="115"/>
      <c r="H65" s="133"/>
      <c r="I65" s="101" t="str">
        <f t="shared" si="1"/>
        <v/>
      </c>
      <c r="J65" s="65"/>
      <c r="K65" s="65"/>
      <c r="L65" s="66"/>
      <c r="M65" s="525"/>
      <c r="N65" s="520"/>
      <c r="O65" s="227"/>
      <c r="P65" s="228"/>
      <c r="Q65" s="229"/>
      <c r="R65" s="229"/>
      <c r="S65" s="229"/>
      <c r="T65" s="229"/>
      <c r="U65" s="229"/>
      <c r="V65" s="229"/>
      <c r="W65" s="229"/>
      <c r="X65" s="230"/>
      <c r="Y65" s="230"/>
      <c r="Z65" s="230"/>
      <c r="AA65" s="230"/>
      <c r="AB65" s="232"/>
      <c r="AC65" s="231"/>
      <c r="AD65" s="229"/>
      <c r="AE65" s="229"/>
      <c r="AF65" s="229"/>
      <c r="AG65" s="229"/>
    </row>
    <row r="66" spans="1:33" s="39" customFormat="1" ht="24" customHeight="1">
      <c r="A66" s="38"/>
      <c r="B66" s="38"/>
      <c r="C66" s="102"/>
      <c r="D66" s="65"/>
      <c r="E66" s="99"/>
      <c r="F66" s="274"/>
      <c r="G66" s="115"/>
      <c r="H66" s="133"/>
      <c r="I66" s="101" t="str">
        <f t="shared" si="1"/>
        <v/>
      </c>
      <c r="J66" s="65"/>
      <c r="K66" s="65"/>
      <c r="L66" s="66"/>
      <c r="M66" s="525"/>
      <c r="N66" s="520"/>
      <c r="O66" s="227"/>
      <c r="P66" s="228"/>
      <c r="Q66" s="229"/>
      <c r="R66" s="229"/>
      <c r="S66" s="229"/>
      <c r="T66" s="229"/>
      <c r="U66" s="229"/>
      <c r="V66" s="229"/>
      <c r="W66" s="229"/>
      <c r="X66" s="230"/>
      <c r="Y66" s="230"/>
      <c r="Z66" s="230"/>
      <c r="AA66" s="230"/>
      <c r="AB66" s="232"/>
      <c r="AC66" s="231"/>
      <c r="AD66" s="229"/>
      <c r="AE66" s="229"/>
      <c r="AF66" s="229"/>
      <c r="AG66" s="229"/>
    </row>
    <row r="67" spans="1:33" s="39" customFormat="1" ht="24" customHeight="1">
      <c r="A67" s="38"/>
      <c r="B67" s="38"/>
      <c r="C67" s="102"/>
      <c r="D67" s="65"/>
      <c r="E67" s="99"/>
      <c r="F67" s="274"/>
      <c r="G67" s="115"/>
      <c r="H67" s="133"/>
      <c r="I67" s="101" t="str">
        <f t="shared" si="1"/>
        <v/>
      </c>
      <c r="J67" s="65"/>
      <c r="K67" s="65"/>
      <c r="L67" s="66"/>
      <c r="M67" s="525"/>
      <c r="N67" s="520"/>
      <c r="O67" s="227"/>
      <c r="P67" s="228"/>
      <c r="Q67" s="229"/>
      <c r="R67" s="229"/>
      <c r="S67" s="229"/>
      <c r="T67" s="229"/>
      <c r="U67" s="229"/>
      <c r="V67" s="229"/>
      <c r="W67" s="229"/>
      <c r="X67" s="230"/>
      <c r="Y67" s="230"/>
      <c r="Z67" s="230"/>
      <c r="AA67" s="230"/>
      <c r="AB67" s="232"/>
      <c r="AC67" s="231"/>
      <c r="AD67" s="229"/>
      <c r="AE67" s="229"/>
      <c r="AF67" s="229"/>
      <c r="AG67" s="229"/>
    </row>
    <row r="68" spans="1:33" s="39" customFormat="1" ht="24" customHeight="1">
      <c r="A68" s="38"/>
      <c r="B68" s="38"/>
      <c r="C68" s="102"/>
      <c r="D68" s="65"/>
      <c r="E68" s="99"/>
      <c r="F68" s="274"/>
      <c r="G68" s="115"/>
      <c r="H68" s="133"/>
      <c r="I68" s="101" t="str">
        <f t="shared" si="1"/>
        <v/>
      </c>
      <c r="J68" s="65"/>
      <c r="K68" s="65"/>
      <c r="L68" s="66"/>
      <c r="M68" s="525"/>
      <c r="N68" s="520"/>
      <c r="O68" s="227"/>
      <c r="P68" s="228"/>
      <c r="Q68" s="229"/>
      <c r="R68" s="229"/>
      <c r="S68" s="229"/>
      <c r="T68" s="229"/>
      <c r="U68" s="229"/>
      <c r="V68" s="229"/>
      <c r="W68" s="229"/>
      <c r="X68" s="230"/>
      <c r="Y68" s="230"/>
      <c r="Z68" s="230"/>
      <c r="AA68" s="230"/>
      <c r="AB68" s="232"/>
      <c r="AC68" s="231"/>
      <c r="AD68" s="229"/>
      <c r="AE68" s="229"/>
      <c r="AF68" s="229"/>
      <c r="AG68" s="229"/>
    </row>
    <row r="69" spans="1:33" s="39" customFormat="1" ht="24" customHeight="1">
      <c r="A69" s="38"/>
      <c r="B69" s="38"/>
      <c r="C69" s="102"/>
      <c r="D69" s="65"/>
      <c r="E69" s="99"/>
      <c r="F69" s="274"/>
      <c r="G69" s="115"/>
      <c r="H69" s="133"/>
      <c r="I69" s="101" t="str">
        <f t="shared" si="1"/>
        <v/>
      </c>
      <c r="J69" s="65"/>
      <c r="K69" s="65"/>
      <c r="L69" s="66"/>
      <c r="M69" s="525"/>
      <c r="N69" s="520"/>
      <c r="O69" s="227"/>
      <c r="P69" s="228"/>
      <c r="Q69" s="229"/>
      <c r="R69" s="229"/>
      <c r="S69" s="229"/>
      <c r="T69" s="229"/>
      <c r="U69" s="229"/>
      <c r="V69" s="229"/>
      <c r="W69" s="229"/>
      <c r="X69" s="230"/>
      <c r="Y69" s="230"/>
      <c r="Z69" s="230"/>
      <c r="AA69" s="230"/>
      <c r="AB69" s="232"/>
      <c r="AC69" s="231"/>
      <c r="AD69" s="229"/>
      <c r="AE69" s="229"/>
      <c r="AF69" s="229"/>
      <c r="AG69" s="229"/>
    </row>
    <row r="70" spans="1:33" ht="24" customHeight="1" thickBot="1">
      <c r="A70" s="38"/>
      <c r="B70" s="38"/>
      <c r="C70" s="103"/>
      <c r="D70" s="92" t="s">
        <v>8</v>
      </c>
      <c r="E70" s="104"/>
      <c r="F70" s="275"/>
      <c r="G70" s="118"/>
      <c r="H70" s="127" t="s">
        <v>70</v>
      </c>
      <c r="I70" s="105">
        <f>SUM(I52:I69)</f>
        <v>0</v>
      </c>
      <c r="J70" s="828" t="str">
        <f>IF(C51="部分撤去工事","）うち費用",")")</f>
        <v>)</v>
      </c>
      <c r="K70" s="827">
        <f>IF(C51="部分撤去工事",(K47+L70),0)</f>
        <v>0</v>
      </c>
      <c r="L70" s="826">
        <f>IF(C51="部分撤去工事",SUMIF(N52:N69,"費用",I52:I69),0)</f>
        <v>0</v>
      </c>
      <c r="M70" s="526"/>
      <c r="N70" s="527"/>
      <c r="O70" s="227"/>
      <c r="P70" s="228"/>
      <c r="Q70" s="229"/>
      <c r="R70" s="229"/>
      <c r="S70" s="229"/>
      <c r="T70" s="229"/>
      <c r="U70" s="229"/>
      <c r="V70" s="229"/>
      <c r="W70" s="229"/>
      <c r="X70" s="230"/>
      <c r="Y70" s="230"/>
      <c r="Z70" s="230"/>
      <c r="AA70" s="230"/>
      <c r="AB70" s="232"/>
      <c r="AC70" s="231"/>
      <c r="AD70" s="229"/>
      <c r="AE70" s="229"/>
      <c r="AF70" s="229"/>
      <c r="AG70" s="229"/>
    </row>
    <row r="71" spans="1:33" ht="14.25" customHeight="1">
      <c r="E71" s="120" t="s">
        <v>86</v>
      </c>
      <c r="F71" s="121">
        <f>+F48+1</f>
        <v>3</v>
      </c>
      <c r="G71" s="122" t="s">
        <v>49</v>
      </c>
      <c r="H71" s="123">
        <f>+$H$25</f>
        <v>11</v>
      </c>
      <c r="I71" s="123"/>
      <c r="M71" s="40" t="str">
        <f>IF(A73="","EOL","")</f>
        <v>EOL</v>
      </c>
      <c r="N71" s="1">
        <f>+F71</f>
        <v>3</v>
      </c>
      <c r="O71" s="1"/>
      <c r="P71" s="1"/>
    </row>
  </sheetData>
  <mergeCells count="12">
    <mergeCell ref="C49:L49"/>
    <mergeCell ref="O49:AG49"/>
    <mergeCell ref="J50:L50"/>
    <mergeCell ref="J51:L51"/>
    <mergeCell ref="J28:L28"/>
    <mergeCell ref="J4:L4"/>
    <mergeCell ref="J27:L27"/>
    <mergeCell ref="O3:AG3"/>
    <mergeCell ref="O26:AG26"/>
    <mergeCell ref="C3:L3"/>
    <mergeCell ref="C26:L26"/>
    <mergeCell ref="J5:L5"/>
  </mergeCells>
  <phoneticPr fontId="2"/>
  <dataValidations count="1">
    <dataValidation type="list" allowBlank="1" showInputMessage="1" showErrorMessage="1" prompt="費用/建物附属設備/工具・器具・備品の場合、選択してください。" sqref="N52:N69" xr:uid="{00000000-0002-0000-1100-000000000000}">
      <formula1>"【費用分類】,費用,　,【資産区分】,＜建物附属設備＞,エヤーカーテンまたはドアー自動開閉設備,アーケード又は日よけ設備（金属製）,アーケード又は日よけ設備（その他）,店舗用簡易設備,可動間仕切り-簡易なもの,可動間仕切り-その他,シャッター等（金属製）,シャッター等（その他）,　,＜工具・器具・備品＞,電照サイン（金属製）,非電照サイン（金属製）,電照広告（金属製）,非電照広告（金属製）,電気設備,非電照サイン（その他）,非電照広告（その他）,無人駐車管理装置,その他（金属製）,その他（その他）"</formula1>
    </dataValidation>
  </dataValidations>
  <printOptions horizontalCentered="1" verticalCentered="1"/>
  <pageMargins left="0.39370078740157483" right="0.39370078740157483" top="0.78740157480314965" bottom="0.19685039370078741" header="0.51181102362204722" footer="0.51181102362204722"/>
  <pageSetup paperSize="9" orientation="landscape" horizontalDpi="300" verticalDpi="300" r:id="rId1"/>
  <headerFooter alignWithMargins="0"/>
  <rowBreaks count="1" manualBreakCount="1">
    <brk id="2" max="16383" man="1"/>
  </rowBreaks>
</worksheet>
</file>

<file path=OriginalRibbon/OriginalRibbon.xml><?xml version="1.0" encoding="utf-8"?>
<customUI xmlns="http://schemas.microsoft.com/office/2006/01/customui">
  <ribbon>
    <tabs>
      <tab id="myTab" label="明細">
        <group id="myGroup1" label="明細書">
          <button id="mybutton1" size="large" label="単価表呼出" imageMso="SharePointListsWorkOffline" onAction="Macro1" screentip="単価表による入力を行います。"/>
          <separator id="separator1"/>
          <button id="mybutton2" label="現在の位置に単票を追加" imageMso="CellsInsertDialog" onAction="Macro1" screentip="現在の位置に明細書単票を追加します。"/>
          <button id="mybutton3" label="最終行に単票を追加" imageMso="TableOfAuthoritiesInsert" onAction="Macro1" screentip="現在のシートの最終行に明細書単票を追加します。"/>
          <button id="mybutton4" label="明細シートを追加" imageMso="CreateQueryFromWizard" onAction="Macro1" screentip="明細書シートを追加します。"/>
          <separator id="separator2"/>
          <button id="mybutton5" label="現在の位置の単票を削除" imageMso="CellsDelete" onAction="Macro1" screentip="現在の位置の明細書単票を削除します。"/>
          <button id="mybutton6" label="最終行の単票を削除" imageMso="QueryDelete" onAction="Macro1" screentip="現在のシートの最終行の明細書単票を削除します。"/>
          <button id="mybutton7" label="明細シートを削除" imageMso="SheetDelete" onAction="Macro1" screentip="明細書シートを削除します。"/>
        </group>
        <group id="myGroup2" label="見積比較書">
          <button id="mybutton8" label="単票の追加" imageMso="TableRowsInsertBelowExcel" onAction="Macro1" screentip="現在の位置に見積比較書を追加します。"/>
          <button id="mybutton9" label="単票の削除" imageMso="TableRowsDeleteExcel" onAction="Macro1" screentip="現在の位置の見積比較書を削除します。"/>
        </group>
        <group id="myGroup3" label="印刷">
          <button id="mybutton10" size="large" label="明細書印刷" imageMso="FilePrint" onAction="Macro1" screentip="明細書を印刷します。"/>
          <separator id="separator3"/>
          <box id="box1" boxStyle="vertical">
            <button id="mybutton11" label="見積比較書印刷" imageMso="PrintOptionsMenu" onAction="Macro1" screentip="見積比較書を印刷します。"/>
            <button id="mybutton12" label="小運搬表印刷" imageMso="PrintAreaMenu" onAction="Macro1" screentip="小運搬表を印刷します。"/>
          </box>
          <separator id="separator4"/>
          <box id="box2" boxStyle="vertical">
            <button id="mybutton13" getVisible="getVisibleCallback1" label="諸経費表印刷" onAction="Macro1" screentip="諸経費表を印刷します。"/>
            <button id="mybutton14" getVisible="getVisibleCallback1" label="代価歩掛印刷" onAction="Macro1" screentip="代価歩掛を印刷します。"/>
          </box>
        </group>
        <group id="myGroup4" label="補助">
          <button id="mybutton15" size="large" label="小運搬表　作成　" imageMso="DatabaseLinedTableManager" onAction="Macro1" screentip="小運搬表を作成します。"/>
          <button id="mybutton16" label="ｼｰﾄ先頭ﾍﾟｰｼﾞに工種記入" imageMso="Refresh" onAction="Macro1" screentip="シートの先頭ページに、工種を記入しなおします。"/>
          <button id="mybutton17" getVisible="getVisibleCallback1" label="保障(範囲指定後)" imageMso="DistributionListAddNewMember" onAction="Macro1" screentip="保障対象範囲を指定後、使用してください。"/>
          <button id="mybutton18" getVisible="getVisibleCallback1" label="単価一括代入" imageMso="QueryBuilder" onAction="Macro1" screentip="ﾊｲﾘｽｸ・ﾊｲﾘﾀｰﾝ！ 気をつけて使いましょう！"/>
        </group>
        <group id="myGroup5" label="見積用">
          <button id="mybutton19" getVisible="getVisibleCallback2" label="見積担当者用に変更" imageMso="RecurrenceEdit" onAction="Macro1" screentip="見積担当者以外はさわらないでください。"/>
          <button id="mybutton20" getVisible="getVisibleCallback1" label="設計担当者用に変更" imageMso="RecurrenceEdit" onAction="Macro1" screentip="設計担当者用に戻します。"/>
          <button id="mybutton21" getVisible="getVisibleCallback1" label="現場送付用に変更" imageMso="GoTo" onAction="Macro1" screentip="単価等を貼付け、現場送付用に変更します。（注意！：ﾏｸﾛ等一部使用できなくなります。）"/>
        </group>
        <group id="myGroup6" label="ヘルプ">
          <button id="mybutton22" label="ヘルプ・使い方" imageMso="Help" onAction="Macro1" screentip="ごめんなさい。m(_ _)m 旧ﾊﾞｰｼﾞｮﾝのままです…。基本は同じなので参考としてください。"/>
          <button id="mybutton23" label="バージョン情報" imageMso="Info" onAction="Macro1" screentip="ﾊﾞｰｼﾞｮﾝ情報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12</vt:i4>
      </vt:variant>
    </vt:vector>
  </HeadingPairs>
  <TitlesOfParts>
    <vt:vector size="30" baseType="lpstr">
      <vt:lpstr>変更諸経費表 (東梅田)</vt:lpstr>
      <vt:lpstr>変更諸経費表 (堺筋本町)</vt:lpstr>
      <vt:lpstr>変更諸経費表</vt:lpstr>
      <vt:lpstr>表紙</vt:lpstr>
      <vt:lpstr>資産管理明細書</vt:lpstr>
      <vt:lpstr>資産クラス</vt:lpstr>
      <vt:lpstr>工事1</vt:lpstr>
      <vt:lpstr>資産クラス一覧表</vt:lpstr>
      <vt:lpstr>工事2</vt:lpstr>
      <vt:lpstr>代価</vt:lpstr>
      <vt:lpstr>見積比較</vt:lpstr>
      <vt:lpstr>見積類似</vt:lpstr>
      <vt:lpstr>小運搬</vt:lpstr>
      <vt:lpstr>代価一覧</vt:lpstr>
      <vt:lpstr>変更諸経費表(専業)元</vt:lpstr>
      <vt:lpstr>変更諸経費表(専業)改</vt:lpstr>
      <vt:lpstr>work</vt:lpstr>
      <vt:lpstr>新規シート</vt:lpstr>
      <vt:lpstr>見積比較!Print_Area</vt:lpstr>
      <vt:lpstr>見積類似!Print_Area</vt:lpstr>
      <vt:lpstr>工事1!Print_Area</vt:lpstr>
      <vt:lpstr>工事2!Print_Area</vt:lpstr>
      <vt:lpstr>資産クラス!Print_Area</vt:lpstr>
      <vt:lpstr>資産管理明細書!Print_Area</vt:lpstr>
      <vt:lpstr>代価!Print_Area</vt:lpstr>
      <vt:lpstr>変更諸経費表!Print_Area</vt:lpstr>
      <vt:lpstr>'変更諸経費表 (堺筋本町)'!Print_Area</vt:lpstr>
      <vt:lpstr>'変更諸経費表 (東梅田)'!Print_Area</vt:lpstr>
      <vt:lpstr>'変更諸経費表(専業)改'!Print_Area</vt:lpstr>
      <vt:lpstr>'変更諸経費表(専業)元'!Print_Area</vt:lpstr>
    </vt:vector>
  </TitlesOfParts>
  <Manager>古田　順正</Manager>
  <Company>大阪市交通局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参考明細作成</dc:title>
  <dc:creator>建築企画担当</dc:creator>
  <dc:description>参考明細作成用のVBA付き</dc:description>
  <cp:lastModifiedBy>Microsoft Office User</cp:lastModifiedBy>
  <cp:lastPrinted>2020-03-09T05:10:05Z</cp:lastPrinted>
  <dcterms:created xsi:type="dcterms:W3CDTF">2000-06-20T23:47:24Z</dcterms:created>
  <dcterms:modified xsi:type="dcterms:W3CDTF">2022-09-02T14:38:20Z</dcterms:modified>
</cp:coreProperties>
</file>